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WEBSITE\DB31_FI_CASH_equivalents_72320\"/>
    </mc:Choice>
  </mc:AlternateContent>
  <xr:revisionPtr revIDLastSave="0" documentId="13_ncr:1_{10E70057-64AE-4A14-B362-9B35CDD9A161}" xr6:coauthVersionLast="45" xr6:coauthVersionMax="45" xr10:uidLastSave="{00000000-0000-0000-0000-000000000000}"/>
  <bookViews>
    <workbookView xWindow="-120" yWindow="-120" windowWidth="20730" windowHeight="11160" tabRatio="749" activeTab="1" xr2:uid="{46FD4760-599E-40B0-A1D9-B1F03F0E21B1}"/>
  </bookViews>
  <sheets>
    <sheet name="Summary Table - no TAX" sheetId="15" r:id="rId1"/>
    <sheet name="Summary Table - wTAX" sheetId="2" r:id="rId2"/>
    <sheet name="TAX reduces gains by" sheetId="13" r:id="rId3"/>
    <sheet name="METHOD1 - CASH" sheetId="3" r:id="rId4"/>
    <sheet name="METHOD2 - VTSAX wTAX- d" sheetId="1" r:id="rId5"/>
    <sheet name="METHOD3 - VWITX wTAX" sheetId="4" r:id="rId6"/>
    <sheet name="METHOD4 - VWIAX wTAX" sheetId="5" r:id="rId7"/>
    <sheet name="METHOD5 - Split 3 wTAX" sheetId="6" r:id="rId8"/>
    <sheet name="METHOD7-split 3+dividstock wTAX" sheetId="9" r:id="rId9"/>
    <sheet name="METHOD7A-split2+DLR+VWITX" sheetId="12" r:id="rId10"/>
    <sheet name="METHOD7B-split2+VGSIX+VWITX" sheetId="14" r:id="rId11"/>
    <sheet name="METHOD6-Split 3+dividfund wTAX " sheetId="8" r:id="rId12"/>
    <sheet name="METHOD6A - Split 2 + divid fund" sheetId="10" r:id="rId13"/>
    <sheet name="METHOD6B - Split 2+divid+rv% " sheetId="11" r:id="rId14"/>
  </sheets>
  <externalReferences>
    <externalReference r:id="rId15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1" i="6" l="1"/>
  <c r="N10" i="6"/>
  <c r="M10" i="5"/>
  <c r="N10" i="5" s="1"/>
  <c r="M11" i="5"/>
  <c r="M10" i="4"/>
  <c r="N10" i="4" s="1"/>
  <c r="M11" i="4"/>
  <c r="M10" i="1"/>
  <c r="N10" i="1" s="1"/>
  <c r="M11" i="1"/>
  <c r="R8" i="2"/>
  <c r="Q8" i="2"/>
  <c r="Q7" i="2"/>
  <c r="Q6" i="2"/>
  <c r="Q4" i="2"/>
  <c r="Q3" i="2"/>
  <c r="Q2" i="2"/>
  <c r="R2" i="2"/>
  <c r="D132" i="14"/>
  <c r="D127" i="14"/>
  <c r="D122" i="14"/>
  <c r="D111" i="14"/>
  <c r="D151" i="14"/>
  <c r="D144" i="14"/>
  <c r="D140" i="14"/>
  <c r="D129" i="14"/>
  <c r="D128" i="14"/>
  <c r="D126" i="14"/>
  <c r="D125" i="14"/>
  <c r="D124" i="14"/>
  <c r="D121" i="14"/>
  <c r="D119" i="14"/>
  <c r="D117" i="14"/>
  <c r="D112" i="14"/>
  <c r="D108" i="14"/>
  <c r="D106" i="14"/>
  <c r="D105" i="14"/>
  <c r="D103" i="14"/>
  <c r="D100" i="14"/>
  <c r="D138" i="14"/>
  <c r="D137" i="14"/>
  <c r="D130" i="14"/>
  <c r="D114" i="14"/>
  <c r="D115" i="14"/>
  <c r="D113" i="14"/>
  <c r="D97" i="14"/>
  <c r="D98" i="14"/>
  <c r="D96" i="14"/>
  <c r="D94" i="14"/>
  <c r="G92" i="14"/>
  <c r="F92" i="14"/>
  <c r="J31" i="14"/>
  <c r="D95" i="14"/>
  <c r="D99" i="14"/>
  <c r="D101" i="14"/>
  <c r="D102" i="14"/>
  <c r="D104" i="14"/>
  <c r="D107" i="14"/>
  <c r="D109" i="14"/>
  <c r="D110" i="14"/>
  <c r="D116" i="14"/>
  <c r="D118" i="14"/>
  <c r="D120" i="14"/>
  <c r="D123" i="14"/>
  <c r="D131" i="14"/>
  <c r="D133" i="14"/>
  <c r="D134" i="14"/>
  <c r="D135" i="14"/>
  <c r="D136" i="14"/>
  <c r="D139" i="14"/>
  <c r="D141" i="14"/>
  <c r="D142" i="14"/>
  <c r="D143" i="14"/>
  <c r="D145" i="14"/>
  <c r="D146" i="14"/>
  <c r="D147" i="14"/>
  <c r="D148" i="14"/>
  <c r="D149" i="14"/>
  <c r="D150" i="14"/>
  <c r="D152" i="14"/>
  <c r="D153" i="14"/>
  <c r="D93" i="14"/>
  <c r="C92" i="14"/>
  <c r="D89" i="14"/>
  <c r="D83" i="14"/>
  <c r="D80" i="14"/>
  <c r="D88" i="14"/>
  <c r="D87" i="14"/>
  <c r="D86" i="14"/>
  <c r="D85" i="14"/>
  <c r="D82" i="14"/>
  <c r="D76" i="14"/>
  <c r="D73" i="14"/>
  <c r="D71" i="14"/>
  <c r="D61" i="14"/>
  <c r="D59" i="14"/>
  <c r="D58" i="14"/>
  <c r="D54" i="14"/>
  <c r="D42" i="14"/>
  <c r="D40" i="14"/>
  <c r="D39" i="14"/>
  <c r="D79" i="14"/>
  <c r="D74" i="14"/>
  <c r="D68" i="14"/>
  <c r="D64" i="14"/>
  <c r="D51" i="14"/>
  <c r="D47" i="14"/>
  <c r="D43" i="14"/>
  <c r="D38" i="14"/>
  <c r="D35" i="14"/>
  <c r="D31" i="14"/>
  <c r="D30" i="14"/>
  <c r="K30" i="14" s="1"/>
  <c r="D32" i="14"/>
  <c r="C29" i="14"/>
  <c r="D33" i="14"/>
  <c r="D34" i="14"/>
  <c r="D36" i="14"/>
  <c r="D37" i="14"/>
  <c r="D41" i="14"/>
  <c r="D44" i="14"/>
  <c r="D45" i="14"/>
  <c r="D46" i="14"/>
  <c r="D48" i="14"/>
  <c r="D49" i="14"/>
  <c r="D50" i="14"/>
  <c r="D52" i="14"/>
  <c r="D53" i="14"/>
  <c r="D55" i="14"/>
  <c r="D56" i="14"/>
  <c r="D57" i="14"/>
  <c r="D60" i="14"/>
  <c r="D62" i="14"/>
  <c r="D63" i="14"/>
  <c r="D65" i="14"/>
  <c r="D66" i="14"/>
  <c r="D67" i="14"/>
  <c r="D69" i="14"/>
  <c r="D70" i="14"/>
  <c r="D72" i="14"/>
  <c r="D75" i="14"/>
  <c r="D77" i="14"/>
  <c r="D78" i="14"/>
  <c r="D81" i="14"/>
  <c r="D84" i="14"/>
  <c r="M5" i="14"/>
  <c r="D23" i="14"/>
  <c r="D18" i="14"/>
  <c r="D13" i="14"/>
  <c r="D6" i="14"/>
  <c r="D7" i="14"/>
  <c r="D8" i="14"/>
  <c r="D9" i="14"/>
  <c r="D10" i="14"/>
  <c r="D11" i="14"/>
  <c r="D12" i="14"/>
  <c r="D14" i="14"/>
  <c r="D15" i="14"/>
  <c r="D16" i="14"/>
  <c r="D17" i="14"/>
  <c r="D19" i="14"/>
  <c r="D20" i="14"/>
  <c r="D21" i="14"/>
  <c r="D22" i="14"/>
  <c r="D24" i="14"/>
  <c r="D5" i="14"/>
  <c r="C4" i="14"/>
  <c r="M9" i="15" s="1"/>
  <c r="M9" i="14"/>
  <c r="J93" i="14"/>
  <c r="K93" i="14" s="1"/>
  <c r="J30" i="14"/>
  <c r="R1" i="14"/>
  <c r="U3" i="14"/>
  <c r="Q3" i="14"/>
  <c r="L9" i="15"/>
  <c r="K9" i="15"/>
  <c r="J9" i="15"/>
  <c r="I9" i="15"/>
  <c r="H9" i="15"/>
  <c r="G9" i="15"/>
  <c r="F9" i="15"/>
  <c r="E9" i="15"/>
  <c r="D9" i="15"/>
  <c r="R8" i="15"/>
  <c r="R10" i="15" s="1"/>
  <c r="Q8" i="15"/>
  <c r="Q10" i="15" s="1"/>
  <c r="R7" i="15"/>
  <c r="Q7" i="15"/>
  <c r="P7" i="15"/>
  <c r="R6" i="15"/>
  <c r="Q6" i="15"/>
  <c r="P6" i="15"/>
  <c r="R5" i="15"/>
  <c r="P5" i="15"/>
  <c r="L5" i="15"/>
  <c r="K5" i="15"/>
  <c r="J5" i="15"/>
  <c r="I5" i="15"/>
  <c r="H5" i="15"/>
  <c r="G5" i="15"/>
  <c r="F5" i="15"/>
  <c r="Q5" i="15" s="1"/>
  <c r="E5" i="15"/>
  <c r="D5" i="15"/>
  <c r="Q4" i="15"/>
  <c r="R3" i="15"/>
  <c r="R2" i="15"/>
  <c r="Q2" i="15"/>
  <c r="J94" i="14" l="1"/>
  <c r="K94" i="14" s="1"/>
  <c r="J95" i="14" s="1"/>
  <c r="D92" i="14"/>
  <c r="D29" i="14"/>
  <c r="K31" i="14"/>
  <c r="J32" i="14" s="1"/>
  <c r="K32" i="14" s="1"/>
  <c r="D4" i="14"/>
  <c r="V1" i="14"/>
  <c r="M8" i="14"/>
  <c r="M9" i="2"/>
  <c r="M1" i="14"/>
  <c r="N5" i="14" s="1"/>
  <c r="M5" i="15" s="1"/>
  <c r="R3" i="14"/>
  <c r="Q4" i="14" s="1"/>
  <c r="R4" i="14" s="1"/>
  <c r="Q5" i="14" s="1"/>
  <c r="R5" i="14" s="1"/>
  <c r="Q6" i="14" s="1"/>
  <c r="R6" i="14" s="1"/>
  <c r="Q7" i="14" s="1"/>
  <c r="R7" i="14" s="1"/>
  <c r="N1" i="14"/>
  <c r="N8" i="14"/>
  <c r="M5" i="2" s="1"/>
  <c r="V3" i="14"/>
  <c r="U4" i="14" s="1"/>
  <c r="V4" i="14" s="1"/>
  <c r="U5" i="14" s="1"/>
  <c r="V5" i="14" s="1"/>
  <c r="U6" i="14" s="1"/>
  <c r="V6" i="14" s="1"/>
  <c r="U7" i="14" s="1"/>
  <c r="V7" i="14" s="1"/>
  <c r="J96" i="12"/>
  <c r="I155" i="12"/>
  <c r="I154" i="12"/>
  <c r="I153" i="12"/>
  <c r="I150" i="12"/>
  <c r="I147" i="12"/>
  <c r="I143" i="12"/>
  <c r="I142" i="12"/>
  <c r="I139" i="12"/>
  <c r="I138" i="12"/>
  <c r="I137" i="12"/>
  <c r="I131" i="12"/>
  <c r="I122" i="12"/>
  <c r="I115" i="12"/>
  <c r="I111" i="12"/>
  <c r="I109" i="12"/>
  <c r="I106" i="12"/>
  <c r="I103" i="12"/>
  <c r="I102" i="12"/>
  <c r="I152" i="12"/>
  <c r="I135" i="12"/>
  <c r="I128" i="12"/>
  <c r="I101" i="12"/>
  <c r="I100" i="12"/>
  <c r="I141" i="12"/>
  <c r="I140" i="12"/>
  <c r="I133" i="12"/>
  <c r="I132" i="12"/>
  <c r="I130" i="12"/>
  <c r="I125" i="12"/>
  <c r="I118" i="12"/>
  <c r="I117" i="12"/>
  <c r="I116" i="12"/>
  <c r="I114" i="12"/>
  <c r="I99" i="12"/>
  <c r="I97" i="12"/>
  <c r="I151" i="12"/>
  <c r="I149" i="12"/>
  <c r="I148" i="12"/>
  <c r="I146" i="12"/>
  <c r="I145" i="12"/>
  <c r="I144" i="12"/>
  <c r="I136" i="12"/>
  <c r="I134" i="12"/>
  <c r="I129" i="12"/>
  <c r="I127" i="12"/>
  <c r="I126" i="12"/>
  <c r="I124" i="12"/>
  <c r="I123" i="12"/>
  <c r="I121" i="12"/>
  <c r="I120" i="12"/>
  <c r="I119" i="12"/>
  <c r="I113" i="12"/>
  <c r="I112" i="12"/>
  <c r="I110" i="12"/>
  <c r="I108" i="12"/>
  <c r="I107" i="12"/>
  <c r="I105" i="12"/>
  <c r="I104" i="12"/>
  <c r="I98" i="12"/>
  <c r="I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96" i="12"/>
  <c r="C95" i="12"/>
  <c r="J33" i="12"/>
  <c r="K32" i="12"/>
  <c r="J32" i="12"/>
  <c r="I89" i="12"/>
  <c r="I88" i="12"/>
  <c r="I87" i="12"/>
  <c r="I84" i="12"/>
  <c r="I76" i="12"/>
  <c r="I75" i="12"/>
  <c r="I74" i="12"/>
  <c r="I63" i="12"/>
  <c r="I60" i="12"/>
  <c r="I91" i="12"/>
  <c r="I82" i="12"/>
  <c r="I77" i="12"/>
  <c r="I68" i="12"/>
  <c r="I64" i="12"/>
  <c r="I58" i="12"/>
  <c r="I49" i="12"/>
  <c r="I46" i="12"/>
  <c r="I56" i="12"/>
  <c r="I67" i="12"/>
  <c r="I66" i="12"/>
  <c r="I65" i="12"/>
  <c r="I53" i="12"/>
  <c r="I45" i="12"/>
  <c r="I44" i="12"/>
  <c r="I42" i="12"/>
  <c r="I41" i="12"/>
  <c r="I37" i="12"/>
  <c r="I38" i="12"/>
  <c r="I39" i="12"/>
  <c r="I40" i="12"/>
  <c r="I43" i="12"/>
  <c r="I47" i="12"/>
  <c r="I48" i="12"/>
  <c r="I50" i="12"/>
  <c r="I51" i="12"/>
  <c r="I52" i="12"/>
  <c r="I54" i="12"/>
  <c r="I55" i="12"/>
  <c r="I57" i="12"/>
  <c r="I59" i="12"/>
  <c r="I61" i="12"/>
  <c r="I62" i="12"/>
  <c r="I69" i="12"/>
  <c r="I70" i="12"/>
  <c r="I71" i="12"/>
  <c r="I72" i="12"/>
  <c r="I73" i="12"/>
  <c r="I78" i="12"/>
  <c r="I79" i="12"/>
  <c r="I80" i="12"/>
  <c r="I81" i="12"/>
  <c r="I83" i="12"/>
  <c r="I85" i="12"/>
  <c r="I86" i="12"/>
  <c r="I90" i="12"/>
  <c r="I36" i="12"/>
  <c r="I34" i="12"/>
  <c r="I33" i="12"/>
  <c r="I32" i="12"/>
  <c r="I35" i="12"/>
  <c r="G31" i="12"/>
  <c r="F31" i="12"/>
  <c r="D31" i="12"/>
  <c r="C31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32" i="12"/>
  <c r="U3" i="12"/>
  <c r="M9" i="12"/>
  <c r="D25" i="12"/>
  <c r="D22" i="12"/>
  <c r="D17" i="12"/>
  <c r="D15" i="12"/>
  <c r="D12" i="12"/>
  <c r="D6" i="12"/>
  <c r="D7" i="12"/>
  <c r="D8" i="12"/>
  <c r="D9" i="12"/>
  <c r="D10" i="12"/>
  <c r="D11" i="12"/>
  <c r="D13" i="12"/>
  <c r="D14" i="12"/>
  <c r="D16" i="12"/>
  <c r="D18" i="12"/>
  <c r="D19" i="12"/>
  <c r="D20" i="12"/>
  <c r="D21" i="12"/>
  <c r="D23" i="12"/>
  <c r="D24" i="12"/>
  <c r="D26" i="12"/>
  <c r="D27" i="12"/>
  <c r="D28" i="12"/>
  <c r="D5" i="12"/>
  <c r="K93" i="9"/>
  <c r="L90" i="9"/>
  <c r="K30" i="9"/>
  <c r="I152" i="9"/>
  <c r="I150" i="9"/>
  <c r="I145" i="9"/>
  <c r="I141" i="9"/>
  <c r="I140" i="9"/>
  <c r="I138" i="9"/>
  <c r="I133" i="9"/>
  <c r="I130" i="9"/>
  <c r="I112" i="9"/>
  <c r="I129" i="9"/>
  <c r="I127" i="9"/>
  <c r="I126" i="9"/>
  <c r="I125" i="9"/>
  <c r="I122" i="9"/>
  <c r="I120" i="9"/>
  <c r="I116" i="9"/>
  <c r="I98" i="9"/>
  <c r="I113" i="9"/>
  <c r="I109" i="9"/>
  <c r="I108" i="9"/>
  <c r="I107" i="9"/>
  <c r="I106" i="9"/>
  <c r="I104" i="9"/>
  <c r="I101" i="9"/>
  <c r="I153" i="9"/>
  <c r="I151" i="9"/>
  <c r="I149" i="9"/>
  <c r="I148" i="9"/>
  <c r="I147" i="9"/>
  <c r="I144" i="9"/>
  <c r="I143" i="9"/>
  <c r="I142" i="9"/>
  <c r="I137" i="9"/>
  <c r="I136" i="9"/>
  <c r="I135" i="9"/>
  <c r="I134" i="9"/>
  <c r="I128" i="9"/>
  <c r="I124" i="9"/>
  <c r="I121" i="9"/>
  <c r="I119" i="9"/>
  <c r="I117" i="9"/>
  <c r="I110" i="9"/>
  <c r="I103" i="9"/>
  <c r="I100" i="9"/>
  <c r="I139" i="9"/>
  <c r="I131" i="9"/>
  <c r="I115" i="9"/>
  <c r="I114" i="9"/>
  <c r="I99" i="9"/>
  <c r="I97" i="9"/>
  <c r="I96" i="9"/>
  <c r="I95" i="9"/>
  <c r="I102" i="9"/>
  <c r="I105" i="9"/>
  <c r="I111" i="9"/>
  <c r="I118" i="9"/>
  <c r="I123" i="9"/>
  <c r="I132" i="9"/>
  <c r="I146" i="9"/>
  <c r="I94" i="9"/>
  <c r="I93" i="9"/>
  <c r="G93" i="9"/>
  <c r="H93" i="9"/>
  <c r="F93" i="9"/>
  <c r="D93" i="9"/>
  <c r="C93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94" i="9"/>
  <c r="I89" i="9"/>
  <c r="I88" i="9"/>
  <c r="I87" i="9"/>
  <c r="I86" i="9"/>
  <c r="I84" i="9"/>
  <c r="I83" i="9"/>
  <c r="I82" i="9"/>
  <c r="I80" i="9"/>
  <c r="I79" i="9"/>
  <c r="I76" i="9"/>
  <c r="I75" i="9"/>
  <c r="I74" i="9"/>
  <c r="I73" i="9"/>
  <c r="I72" i="9"/>
  <c r="I71" i="9"/>
  <c r="I70" i="9"/>
  <c r="I69" i="9"/>
  <c r="I68" i="9"/>
  <c r="I66" i="9"/>
  <c r="I65" i="9"/>
  <c r="I64" i="9"/>
  <c r="I63" i="9"/>
  <c r="I61" i="9"/>
  <c r="I59" i="9"/>
  <c r="I58" i="9"/>
  <c r="I56" i="9"/>
  <c r="I54" i="9"/>
  <c r="I50" i="9"/>
  <c r="I49" i="9"/>
  <c r="I47" i="9"/>
  <c r="I46" i="9"/>
  <c r="I44" i="9"/>
  <c r="I42" i="9"/>
  <c r="I40" i="9"/>
  <c r="I39" i="9"/>
  <c r="I28" i="9"/>
  <c r="I36" i="9"/>
  <c r="I34" i="9"/>
  <c r="I32" i="9"/>
  <c r="I51" i="9"/>
  <c r="I43" i="9"/>
  <c r="I38" i="9"/>
  <c r="I35" i="9"/>
  <c r="I31" i="9"/>
  <c r="I30" i="9"/>
  <c r="L30" i="9" s="1"/>
  <c r="K31" i="9" s="1"/>
  <c r="L31" i="9" s="1"/>
  <c r="K32" i="9" s="1"/>
  <c r="I33" i="9"/>
  <c r="I37" i="9"/>
  <c r="I41" i="9"/>
  <c r="I45" i="9"/>
  <c r="I48" i="9"/>
  <c r="I52" i="9"/>
  <c r="I53" i="9"/>
  <c r="I55" i="9"/>
  <c r="I57" i="9"/>
  <c r="I60" i="9"/>
  <c r="I62" i="9"/>
  <c r="I67" i="9"/>
  <c r="I77" i="9"/>
  <c r="I78" i="9"/>
  <c r="I81" i="9"/>
  <c r="I85" i="9"/>
  <c r="D30" i="9"/>
  <c r="D29" i="9" s="1"/>
  <c r="D28" i="6"/>
  <c r="C28" i="6"/>
  <c r="C29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1" i="9"/>
  <c r="D92" i="9"/>
  <c r="E4" i="9"/>
  <c r="U3" i="9"/>
  <c r="D23" i="9"/>
  <c r="D24" i="9"/>
  <c r="D22" i="9"/>
  <c r="D21" i="9"/>
  <c r="D20" i="9"/>
  <c r="D19" i="9"/>
  <c r="D18" i="9"/>
  <c r="D15" i="9"/>
  <c r="D16" i="9"/>
  <c r="D17" i="9"/>
  <c r="D14" i="9"/>
  <c r="D13" i="9"/>
  <c r="D12" i="9"/>
  <c r="D11" i="9"/>
  <c r="D9" i="9"/>
  <c r="D10" i="9"/>
  <c r="D8" i="9"/>
  <c r="D7" i="9"/>
  <c r="F3" i="9"/>
  <c r="D6" i="9"/>
  <c r="D5" i="9"/>
  <c r="AA22" i="13"/>
  <c r="AB22" i="13" s="1"/>
  <c r="G4" i="12"/>
  <c r="F4" i="12"/>
  <c r="AA21" i="13" s="1"/>
  <c r="AB21" i="13" s="1"/>
  <c r="AA20" i="13"/>
  <c r="AB20" i="13" s="1"/>
  <c r="AA18" i="13"/>
  <c r="J3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5" i="8"/>
  <c r="AA23" i="13"/>
  <c r="AA17" i="13"/>
  <c r="G4" i="9"/>
  <c r="H4" i="9"/>
  <c r="F4" i="9"/>
  <c r="M9" i="9"/>
  <c r="U3" i="8"/>
  <c r="D23" i="8"/>
  <c r="G4" i="6"/>
  <c r="H4" i="6"/>
  <c r="F4" i="6"/>
  <c r="G4" i="8"/>
  <c r="H4" i="8"/>
  <c r="F4" i="8"/>
  <c r="D13" i="8"/>
  <c r="D7" i="8"/>
  <c r="M8" i="8"/>
  <c r="L83" i="6"/>
  <c r="I63" i="6"/>
  <c r="I50" i="6"/>
  <c r="I38" i="6"/>
  <c r="I37" i="6"/>
  <c r="I30" i="6"/>
  <c r="J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29" i="6"/>
  <c r="O29" i="6"/>
  <c r="P29" i="6" s="1"/>
  <c r="M27" i="6"/>
  <c r="I30" i="5"/>
  <c r="U3" i="6"/>
  <c r="D22" i="6"/>
  <c r="D12" i="6"/>
  <c r="D6" i="6"/>
  <c r="M8" i="6"/>
  <c r="K151" i="5"/>
  <c r="I96" i="5"/>
  <c r="H31" i="5"/>
  <c r="I31" i="5" s="1"/>
  <c r="H32" i="5" s="1"/>
  <c r="M30" i="5"/>
  <c r="N30" i="5" s="1"/>
  <c r="H30" i="5"/>
  <c r="D23" i="5"/>
  <c r="D13" i="5"/>
  <c r="U3" i="5"/>
  <c r="M8" i="5"/>
  <c r="H96" i="4"/>
  <c r="I30" i="1"/>
  <c r="H30" i="4"/>
  <c r="M30" i="4"/>
  <c r="U3" i="4"/>
  <c r="M8" i="4"/>
  <c r="R1" i="1"/>
  <c r="M8" i="1"/>
  <c r="D18" i="4"/>
  <c r="D13" i="4"/>
  <c r="U3" i="1"/>
  <c r="P30" i="1"/>
  <c r="M30" i="1"/>
  <c r="H86" i="1"/>
  <c r="H85" i="1"/>
  <c r="I85" i="1" s="1"/>
  <c r="H30" i="1"/>
  <c r="L30" i="1" s="1"/>
  <c r="N30" i="1" s="1"/>
  <c r="D6" i="1"/>
  <c r="D7" i="1"/>
  <c r="D13" i="1"/>
  <c r="D23" i="1"/>
  <c r="D5" i="1"/>
  <c r="S109" i="13"/>
  <c r="R109" i="13"/>
  <c r="Y7" i="13" s="1"/>
  <c r="Q109" i="13"/>
  <c r="P109" i="13"/>
  <c r="S108" i="13"/>
  <c r="R108" i="13"/>
  <c r="Q108" i="13"/>
  <c r="P108" i="13"/>
  <c r="S106" i="13"/>
  <c r="R106" i="13"/>
  <c r="Q106" i="13"/>
  <c r="P106" i="13"/>
  <c r="S105" i="13"/>
  <c r="R105" i="13"/>
  <c r="Q105" i="13"/>
  <c r="P105" i="13"/>
  <c r="S88" i="13"/>
  <c r="R88" i="13"/>
  <c r="Y6" i="13" s="1"/>
  <c r="Q88" i="13"/>
  <c r="P88" i="13"/>
  <c r="S87" i="13"/>
  <c r="R87" i="13"/>
  <c r="Q87" i="13"/>
  <c r="P87" i="13"/>
  <c r="S85" i="13"/>
  <c r="R85" i="13"/>
  <c r="Q85" i="13"/>
  <c r="P85" i="13"/>
  <c r="S84" i="13"/>
  <c r="R84" i="13"/>
  <c r="Q84" i="13"/>
  <c r="P84" i="13"/>
  <c r="S68" i="13"/>
  <c r="R68" i="13"/>
  <c r="Y5" i="13" s="1"/>
  <c r="Q68" i="13"/>
  <c r="P68" i="13"/>
  <c r="S67" i="13"/>
  <c r="R67" i="13"/>
  <c r="Q67" i="13"/>
  <c r="P67" i="13"/>
  <c r="S65" i="13"/>
  <c r="R65" i="13"/>
  <c r="Q65" i="13"/>
  <c r="P65" i="13"/>
  <c r="S64" i="13"/>
  <c r="R64" i="13"/>
  <c r="Q64" i="13"/>
  <c r="P64" i="13"/>
  <c r="S48" i="13"/>
  <c r="R48" i="13"/>
  <c r="Y4" i="13" s="1"/>
  <c r="Q48" i="13"/>
  <c r="P48" i="13"/>
  <c r="S47" i="13"/>
  <c r="R47" i="13"/>
  <c r="Q47" i="13"/>
  <c r="P47" i="13"/>
  <c r="S45" i="13"/>
  <c r="R45" i="13"/>
  <c r="Q45" i="13"/>
  <c r="P45" i="13"/>
  <c r="S44" i="13"/>
  <c r="R44" i="13"/>
  <c r="Q44" i="13"/>
  <c r="P44" i="13"/>
  <c r="S23" i="13"/>
  <c r="R23" i="13"/>
  <c r="Y3" i="13" s="1"/>
  <c r="D15" i="5" s="1"/>
  <c r="Q23" i="13"/>
  <c r="P23" i="13"/>
  <c r="S22" i="13"/>
  <c r="R22" i="13"/>
  <c r="Q22" i="13"/>
  <c r="P22" i="13"/>
  <c r="S18" i="13"/>
  <c r="R18" i="13"/>
  <c r="Q18" i="13"/>
  <c r="P18" i="13"/>
  <c r="S17" i="13"/>
  <c r="R17" i="13"/>
  <c r="Q17" i="13"/>
  <c r="P17" i="13"/>
  <c r="I95" i="12" l="1"/>
  <c r="D4" i="9"/>
  <c r="V1" i="9" s="1"/>
  <c r="L32" i="9"/>
  <c r="K33" i="9" s="1"/>
  <c r="L33" i="9" s="1"/>
  <c r="K34" i="9" s="1"/>
  <c r="L34" i="9" s="1"/>
  <c r="K35" i="9" s="1"/>
  <c r="L35" i="9" s="1"/>
  <c r="K36" i="9" s="1"/>
  <c r="L36" i="9" s="1"/>
  <c r="K37" i="9" s="1"/>
  <c r="L37" i="9" s="1"/>
  <c r="K38" i="9" s="1"/>
  <c r="L38" i="9" s="1"/>
  <c r="K39" i="9" s="1"/>
  <c r="L39" i="9" s="1"/>
  <c r="K40" i="9" s="1"/>
  <c r="L40" i="9" s="1"/>
  <c r="K41" i="9" s="1"/>
  <c r="L41" i="9" s="1"/>
  <c r="K42" i="9" s="1"/>
  <c r="L42" i="9" s="1"/>
  <c r="K43" i="9" s="1"/>
  <c r="L43" i="9" s="1"/>
  <c r="K44" i="9" s="1"/>
  <c r="L44" i="9" s="1"/>
  <c r="K45" i="9" s="1"/>
  <c r="L45" i="9" s="1"/>
  <c r="K46" i="9" s="1"/>
  <c r="L46" i="9" s="1"/>
  <c r="K47" i="9" s="1"/>
  <c r="L47" i="9" s="1"/>
  <c r="K48" i="9" s="1"/>
  <c r="L48" i="9" s="1"/>
  <c r="K49" i="9" s="1"/>
  <c r="L49" i="9" s="1"/>
  <c r="K50" i="9" s="1"/>
  <c r="L50" i="9" s="1"/>
  <c r="K51" i="9" s="1"/>
  <c r="L51" i="9" s="1"/>
  <c r="K52" i="9" s="1"/>
  <c r="L52" i="9" s="1"/>
  <c r="K53" i="9" s="1"/>
  <c r="L53" i="9" s="1"/>
  <c r="K54" i="9" s="1"/>
  <c r="L54" i="9" s="1"/>
  <c r="K55" i="9" s="1"/>
  <c r="L55" i="9" s="1"/>
  <c r="K56" i="9" s="1"/>
  <c r="L56" i="9" s="1"/>
  <c r="K57" i="9" s="1"/>
  <c r="L57" i="9" s="1"/>
  <c r="K58" i="9" s="1"/>
  <c r="L58" i="9" s="1"/>
  <c r="K59" i="9" s="1"/>
  <c r="L59" i="9" s="1"/>
  <c r="K60" i="9" s="1"/>
  <c r="L60" i="9" s="1"/>
  <c r="K61" i="9" s="1"/>
  <c r="L61" i="9" s="1"/>
  <c r="K62" i="9" s="1"/>
  <c r="L62" i="9" s="1"/>
  <c r="K63" i="9" s="1"/>
  <c r="L63" i="9" s="1"/>
  <c r="K64" i="9" s="1"/>
  <c r="L64" i="9" s="1"/>
  <c r="K65" i="9" s="1"/>
  <c r="L65" i="9" s="1"/>
  <c r="K66" i="9" s="1"/>
  <c r="L66" i="9" s="1"/>
  <c r="K67" i="9" s="1"/>
  <c r="L67" i="9" s="1"/>
  <c r="K68" i="9" s="1"/>
  <c r="L68" i="9" s="1"/>
  <c r="K69" i="9" s="1"/>
  <c r="L69" i="9" s="1"/>
  <c r="K70" i="9" s="1"/>
  <c r="L70" i="9" s="1"/>
  <c r="K71" i="9" s="1"/>
  <c r="L71" i="9" s="1"/>
  <c r="K72" i="9" s="1"/>
  <c r="L72" i="9" s="1"/>
  <c r="K73" i="9" s="1"/>
  <c r="L73" i="9" s="1"/>
  <c r="K74" i="9" s="1"/>
  <c r="L74" i="9" s="1"/>
  <c r="K75" i="9" s="1"/>
  <c r="L75" i="9" s="1"/>
  <c r="K76" i="9" s="1"/>
  <c r="L76" i="9" s="1"/>
  <c r="K77" i="9" s="1"/>
  <c r="L77" i="9" s="1"/>
  <c r="K78" i="9" s="1"/>
  <c r="L78" i="9" s="1"/>
  <c r="K79" i="9" s="1"/>
  <c r="L79" i="9" s="1"/>
  <c r="K80" i="9" s="1"/>
  <c r="L80" i="9" s="1"/>
  <c r="K81" i="9" s="1"/>
  <c r="L81" i="9" s="1"/>
  <c r="K82" i="9" s="1"/>
  <c r="L82" i="9" s="1"/>
  <c r="K83" i="9" s="1"/>
  <c r="L83" i="9" s="1"/>
  <c r="K84" i="9" s="1"/>
  <c r="L84" i="9" s="1"/>
  <c r="K85" i="9" s="1"/>
  <c r="L85" i="9" s="1"/>
  <c r="K86" i="9" s="1"/>
  <c r="L86" i="9" s="1"/>
  <c r="K87" i="9" s="1"/>
  <c r="L87" i="9" s="1"/>
  <c r="K88" i="9" s="1"/>
  <c r="L88" i="9" s="1"/>
  <c r="K89" i="9" s="1"/>
  <c r="L89" i="9" s="1"/>
  <c r="I29" i="9"/>
  <c r="K96" i="12"/>
  <c r="J97" i="12" s="1"/>
  <c r="K97" i="12" s="1"/>
  <c r="J98" i="12" s="1"/>
  <c r="K98" i="12" s="1"/>
  <c r="J99" i="12" s="1"/>
  <c r="K99" i="12" s="1"/>
  <c r="J100" i="12" s="1"/>
  <c r="K100" i="12" s="1"/>
  <c r="J101" i="12" s="1"/>
  <c r="K101" i="12" s="1"/>
  <c r="J102" i="12" s="1"/>
  <c r="K102" i="12" s="1"/>
  <c r="J103" i="12" s="1"/>
  <c r="K103" i="12" s="1"/>
  <c r="J104" i="12" s="1"/>
  <c r="K104" i="12" s="1"/>
  <c r="J105" i="12" s="1"/>
  <c r="K105" i="12" s="1"/>
  <c r="J106" i="12" s="1"/>
  <c r="K106" i="12" s="1"/>
  <c r="J107" i="12" s="1"/>
  <c r="K107" i="12" s="1"/>
  <c r="J108" i="12" s="1"/>
  <c r="K108" i="12" s="1"/>
  <c r="J109" i="12" s="1"/>
  <c r="K109" i="12" s="1"/>
  <c r="J110" i="12" s="1"/>
  <c r="K110" i="12" s="1"/>
  <c r="J111" i="12" s="1"/>
  <c r="K111" i="12" s="1"/>
  <c r="J112" i="12" s="1"/>
  <c r="K112" i="12" s="1"/>
  <c r="J113" i="12" s="1"/>
  <c r="K113" i="12" s="1"/>
  <c r="J114" i="12" s="1"/>
  <c r="K114" i="12" s="1"/>
  <c r="J115" i="12" s="1"/>
  <c r="K115" i="12" s="1"/>
  <c r="J116" i="12" s="1"/>
  <c r="K116" i="12" s="1"/>
  <c r="J117" i="12" s="1"/>
  <c r="K117" i="12" s="1"/>
  <c r="J118" i="12" s="1"/>
  <c r="K118" i="12" s="1"/>
  <c r="J119" i="12" s="1"/>
  <c r="K119" i="12" s="1"/>
  <c r="J120" i="12" s="1"/>
  <c r="K120" i="12" s="1"/>
  <c r="J121" i="12" s="1"/>
  <c r="K121" i="12" s="1"/>
  <c r="J122" i="12" s="1"/>
  <c r="K122" i="12" s="1"/>
  <c r="J123" i="12" s="1"/>
  <c r="K123" i="12" s="1"/>
  <c r="J124" i="12" s="1"/>
  <c r="K124" i="12" s="1"/>
  <c r="J125" i="12" s="1"/>
  <c r="K125" i="12" s="1"/>
  <c r="J126" i="12" s="1"/>
  <c r="K126" i="12" s="1"/>
  <c r="J127" i="12" s="1"/>
  <c r="K127" i="12" s="1"/>
  <c r="J128" i="12" s="1"/>
  <c r="K128" i="12" s="1"/>
  <c r="J129" i="12" s="1"/>
  <c r="K129" i="12" s="1"/>
  <c r="J130" i="12" s="1"/>
  <c r="K130" i="12" s="1"/>
  <c r="J131" i="12" s="1"/>
  <c r="K131" i="12" s="1"/>
  <c r="J132" i="12" s="1"/>
  <c r="K132" i="12" s="1"/>
  <c r="J133" i="12" s="1"/>
  <c r="K133" i="12" s="1"/>
  <c r="J134" i="12" s="1"/>
  <c r="K134" i="12" s="1"/>
  <c r="J135" i="12" s="1"/>
  <c r="K135" i="12" s="1"/>
  <c r="J136" i="12" s="1"/>
  <c r="K136" i="12" s="1"/>
  <c r="J137" i="12" s="1"/>
  <c r="K137" i="12" s="1"/>
  <c r="J138" i="12" s="1"/>
  <c r="K138" i="12" s="1"/>
  <c r="J139" i="12" s="1"/>
  <c r="K139" i="12" s="1"/>
  <c r="J140" i="12" s="1"/>
  <c r="K140" i="12" s="1"/>
  <c r="J141" i="12" s="1"/>
  <c r="K141" i="12" s="1"/>
  <c r="J142" i="12" s="1"/>
  <c r="K142" i="12" s="1"/>
  <c r="J143" i="12" s="1"/>
  <c r="K143" i="12" s="1"/>
  <c r="J144" i="12" s="1"/>
  <c r="K144" i="12" s="1"/>
  <c r="J145" i="12" s="1"/>
  <c r="K145" i="12" s="1"/>
  <c r="J146" i="12" s="1"/>
  <c r="K146" i="12" s="1"/>
  <c r="J147" i="12" s="1"/>
  <c r="K147" i="12" s="1"/>
  <c r="J148" i="12" s="1"/>
  <c r="K148" i="12" s="1"/>
  <c r="J149" i="12" s="1"/>
  <c r="K149" i="12" s="1"/>
  <c r="J150" i="12" s="1"/>
  <c r="K150" i="12" s="1"/>
  <c r="J151" i="12" s="1"/>
  <c r="K151" i="12" s="1"/>
  <c r="J152" i="12" s="1"/>
  <c r="K152" i="12" s="1"/>
  <c r="J153" i="12" s="1"/>
  <c r="K153" i="12" s="1"/>
  <c r="J154" i="12" s="1"/>
  <c r="K154" i="12" s="1"/>
  <c r="J155" i="12" s="1"/>
  <c r="K155" i="12" s="1"/>
  <c r="M8" i="9"/>
  <c r="N8" i="9" s="1"/>
  <c r="K5" i="2" s="1"/>
  <c r="L93" i="9"/>
  <c r="K94" i="9" s="1"/>
  <c r="L94" i="9" s="1"/>
  <c r="K95" i="9" s="1"/>
  <c r="L95" i="9" s="1"/>
  <c r="K96" i="9" s="1"/>
  <c r="L96" i="9" s="1"/>
  <c r="K97" i="9" s="1"/>
  <c r="L97" i="9" s="1"/>
  <c r="K98" i="9" s="1"/>
  <c r="L98" i="9" s="1"/>
  <c r="K99" i="9" s="1"/>
  <c r="L99" i="9" s="1"/>
  <c r="K100" i="9" s="1"/>
  <c r="L100" i="9" s="1"/>
  <c r="K101" i="9" s="1"/>
  <c r="L101" i="9" s="1"/>
  <c r="K102" i="9" s="1"/>
  <c r="L102" i="9" s="1"/>
  <c r="K103" i="9" s="1"/>
  <c r="L103" i="9" s="1"/>
  <c r="K104" i="9" s="1"/>
  <c r="L104" i="9" s="1"/>
  <c r="K105" i="9" s="1"/>
  <c r="L105" i="9" s="1"/>
  <c r="K106" i="9" s="1"/>
  <c r="L106" i="9" s="1"/>
  <c r="K107" i="9" s="1"/>
  <c r="L107" i="9" s="1"/>
  <c r="K108" i="9" s="1"/>
  <c r="L108" i="9" s="1"/>
  <c r="K109" i="9" s="1"/>
  <c r="L109" i="9" s="1"/>
  <c r="K110" i="9" s="1"/>
  <c r="L110" i="9" s="1"/>
  <c r="K111" i="9" s="1"/>
  <c r="L111" i="9" s="1"/>
  <c r="K112" i="9" s="1"/>
  <c r="L112" i="9" s="1"/>
  <c r="K113" i="9" s="1"/>
  <c r="L113" i="9" s="1"/>
  <c r="K114" i="9" s="1"/>
  <c r="L114" i="9" s="1"/>
  <c r="K115" i="9" s="1"/>
  <c r="L115" i="9" s="1"/>
  <c r="K116" i="9" s="1"/>
  <c r="L116" i="9" s="1"/>
  <c r="K117" i="9" s="1"/>
  <c r="L117" i="9" s="1"/>
  <c r="K118" i="9" s="1"/>
  <c r="L118" i="9" s="1"/>
  <c r="K119" i="9" s="1"/>
  <c r="L119" i="9" s="1"/>
  <c r="K120" i="9" s="1"/>
  <c r="L120" i="9" s="1"/>
  <c r="K121" i="9" s="1"/>
  <c r="L121" i="9" s="1"/>
  <c r="K122" i="9" s="1"/>
  <c r="L122" i="9" s="1"/>
  <c r="K123" i="9" s="1"/>
  <c r="L123" i="9" s="1"/>
  <c r="K124" i="9" s="1"/>
  <c r="L124" i="9" s="1"/>
  <c r="K125" i="9" s="1"/>
  <c r="L125" i="9" s="1"/>
  <c r="K126" i="9" s="1"/>
  <c r="L126" i="9" s="1"/>
  <c r="K127" i="9" s="1"/>
  <c r="L127" i="9" s="1"/>
  <c r="K128" i="9" s="1"/>
  <c r="L128" i="9" s="1"/>
  <c r="K129" i="9" s="1"/>
  <c r="L129" i="9" s="1"/>
  <c r="K130" i="9" s="1"/>
  <c r="L130" i="9" s="1"/>
  <c r="K131" i="9" s="1"/>
  <c r="L131" i="9" s="1"/>
  <c r="K132" i="9" s="1"/>
  <c r="L132" i="9" s="1"/>
  <c r="K133" i="9" s="1"/>
  <c r="L133" i="9" s="1"/>
  <c r="K134" i="9" s="1"/>
  <c r="L134" i="9" s="1"/>
  <c r="K135" i="9" s="1"/>
  <c r="L135" i="9" s="1"/>
  <c r="K136" i="9" s="1"/>
  <c r="L136" i="9" s="1"/>
  <c r="K137" i="9" s="1"/>
  <c r="L137" i="9" s="1"/>
  <c r="K138" i="9" s="1"/>
  <c r="L138" i="9" s="1"/>
  <c r="K139" i="9" s="1"/>
  <c r="L139" i="9" s="1"/>
  <c r="K140" i="9" s="1"/>
  <c r="L140" i="9" s="1"/>
  <c r="K141" i="9" s="1"/>
  <c r="L141" i="9" s="1"/>
  <c r="K142" i="9" s="1"/>
  <c r="L142" i="9" s="1"/>
  <c r="K143" i="9" s="1"/>
  <c r="L143" i="9" s="1"/>
  <c r="K144" i="9" s="1"/>
  <c r="L144" i="9" s="1"/>
  <c r="K145" i="9" s="1"/>
  <c r="L145" i="9" s="1"/>
  <c r="K146" i="9" s="1"/>
  <c r="L146" i="9" s="1"/>
  <c r="K147" i="9" s="1"/>
  <c r="L147" i="9" s="1"/>
  <c r="K148" i="9" s="1"/>
  <c r="L148" i="9" s="1"/>
  <c r="K149" i="9" s="1"/>
  <c r="L149" i="9" s="1"/>
  <c r="K150" i="9" s="1"/>
  <c r="L150" i="9" s="1"/>
  <c r="K151" i="9" s="1"/>
  <c r="L151" i="9" s="1"/>
  <c r="K152" i="9" s="1"/>
  <c r="L152" i="9" s="1"/>
  <c r="K153" i="9" s="1"/>
  <c r="L153" i="9" s="1"/>
  <c r="K33" i="12"/>
  <c r="K95" i="14"/>
  <c r="J96" i="14" s="1"/>
  <c r="J33" i="14"/>
  <c r="K33" i="14" s="1"/>
  <c r="D95" i="12"/>
  <c r="I31" i="12"/>
  <c r="D4" i="12"/>
  <c r="V3" i="9"/>
  <c r="U4" i="9" s="1"/>
  <c r="V4" i="9" s="1"/>
  <c r="U5" i="9" s="1"/>
  <c r="V5" i="9" s="1"/>
  <c r="U6" i="9" s="1"/>
  <c r="V6" i="9" s="1"/>
  <c r="U7" i="9" s="1"/>
  <c r="V7" i="9" s="1"/>
  <c r="I88" i="6"/>
  <c r="D8" i="1"/>
  <c r="I61" i="6"/>
  <c r="J4" i="8"/>
  <c r="AB18" i="13" s="1"/>
  <c r="D12" i="1"/>
  <c r="D22" i="5"/>
  <c r="I46" i="6"/>
  <c r="D20" i="1"/>
  <c r="D11" i="5"/>
  <c r="D18" i="5"/>
  <c r="I65" i="6"/>
  <c r="D16" i="1"/>
  <c r="D7" i="5"/>
  <c r="I55" i="6"/>
  <c r="D8" i="4"/>
  <c r="D24" i="4"/>
  <c r="D20" i="4"/>
  <c r="D16" i="6"/>
  <c r="K28" i="5"/>
  <c r="J96" i="5" s="1"/>
  <c r="I97" i="5" s="1"/>
  <c r="J97" i="5" s="1"/>
  <c r="I98" i="5" s="1"/>
  <c r="J98" i="5" s="1"/>
  <c r="I99" i="5" s="1"/>
  <c r="J99" i="5" s="1"/>
  <c r="I100" i="5" s="1"/>
  <c r="J100" i="5" s="1"/>
  <c r="I101" i="5" s="1"/>
  <c r="J101" i="5" s="1"/>
  <c r="I102" i="5" s="1"/>
  <c r="J102" i="5" s="1"/>
  <c r="I103" i="5" s="1"/>
  <c r="J103" i="5" s="1"/>
  <c r="I104" i="5" s="1"/>
  <c r="J104" i="5" s="1"/>
  <c r="I105" i="5" s="1"/>
  <c r="J105" i="5" s="1"/>
  <c r="I106" i="5" s="1"/>
  <c r="J106" i="5" s="1"/>
  <c r="I107" i="5" s="1"/>
  <c r="J107" i="5" s="1"/>
  <c r="I108" i="5" s="1"/>
  <c r="J108" i="5" s="1"/>
  <c r="I109" i="5" s="1"/>
  <c r="J109" i="5" s="1"/>
  <c r="I110" i="5" s="1"/>
  <c r="J110" i="5" s="1"/>
  <c r="I111" i="5" s="1"/>
  <c r="J111" i="5" s="1"/>
  <c r="I112" i="5" s="1"/>
  <c r="J112" i="5" s="1"/>
  <c r="I113" i="5" s="1"/>
  <c r="J113" i="5" s="1"/>
  <c r="I114" i="5" s="1"/>
  <c r="J114" i="5" s="1"/>
  <c r="I115" i="5" s="1"/>
  <c r="J115" i="5" s="1"/>
  <c r="I116" i="5" s="1"/>
  <c r="J116" i="5" s="1"/>
  <c r="I117" i="5" s="1"/>
  <c r="J117" i="5" s="1"/>
  <c r="I118" i="5" s="1"/>
  <c r="J118" i="5" s="1"/>
  <c r="I119" i="5" s="1"/>
  <c r="J119" i="5" s="1"/>
  <c r="I120" i="5" s="1"/>
  <c r="J120" i="5" s="1"/>
  <c r="I121" i="5" s="1"/>
  <c r="J121" i="5" s="1"/>
  <c r="I122" i="5" s="1"/>
  <c r="J122" i="5" s="1"/>
  <c r="I123" i="5" s="1"/>
  <c r="J123" i="5" s="1"/>
  <c r="I124" i="5" s="1"/>
  <c r="J124" i="5" s="1"/>
  <c r="I125" i="5" s="1"/>
  <c r="J125" i="5" s="1"/>
  <c r="I126" i="5" s="1"/>
  <c r="J126" i="5" s="1"/>
  <c r="I127" i="5" s="1"/>
  <c r="J127" i="5" s="1"/>
  <c r="I128" i="5" s="1"/>
  <c r="J128" i="5" s="1"/>
  <c r="I129" i="5" s="1"/>
  <c r="J129" i="5" s="1"/>
  <c r="I130" i="5" s="1"/>
  <c r="J130" i="5" s="1"/>
  <c r="I131" i="5" s="1"/>
  <c r="J131" i="5" s="1"/>
  <c r="I132" i="5" s="1"/>
  <c r="J132" i="5" s="1"/>
  <c r="I133" i="5" s="1"/>
  <c r="J133" i="5" s="1"/>
  <c r="I134" i="5" s="1"/>
  <c r="J134" i="5" s="1"/>
  <c r="I135" i="5" s="1"/>
  <c r="J135" i="5" s="1"/>
  <c r="I136" i="5" s="1"/>
  <c r="J136" i="5" s="1"/>
  <c r="I137" i="5" s="1"/>
  <c r="J137" i="5" s="1"/>
  <c r="I138" i="5" s="1"/>
  <c r="J138" i="5" s="1"/>
  <c r="I139" i="5" s="1"/>
  <c r="J139" i="5" s="1"/>
  <c r="I140" i="5" s="1"/>
  <c r="J140" i="5" s="1"/>
  <c r="I141" i="5" s="1"/>
  <c r="J141" i="5" s="1"/>
  <c r="I142" i="5" s="1"/>
  <c r="J142" i="5" s="1"/>
  <c r="I143" i="5" s="1"/>
  <c r="J143" i="5" s="1"/>
  <c r="I144" i="5" s="1"/>
  <c r="J144" i="5" s="1"/>
  <c r="I145" i="5" s="1"/>
  <c r="J145" i="5" s="1"/>
  <c r="I146" i="5" s="1"/>
  <c r="J146" i="5" s="1"/>
  <c r="I147" i="5" s="1"/>
  <c r="J147" i="5" s="1"/>
  <c r="I148" i="5" s="1"/>
  <c r="J148" i="5" s="1"/>
  <c r="I149" i="5" s="1"/>
  <c r="J149" i="5" s="1"/>
  <c r="I150" i="5" s="1"/>
  <c r="J150" i="5" s="1"/>
  <c r="I151" i="5" s="1"/>
  <c r="J151" i="5" s="1"/>
  <c r="I152" i="5" s="1"/>
  <c r="J152" i="5" s="1"/>
  <c r="I153" i="5" s="1"/>
  <c r="J153" i="5" s="1"/>
  <c r="I154" i="5" s="1"/>
  <c r="J154" i="5" s="1"/>
  <c r="I155" i="5" s="1"/>
  <c r="J155" i="5" s="1"/>
  <c r="I69" i="6"/>
  <c r="I42" i="6"/>
  <c r="I81" i="6"/>
  <c r="D9" i="8"/>
  <c r="D16" i="8"/>
  <c r="D9" i="1"/>
  <c r="D14" i="1"/>
  <c r="D19" i="1"/>
  <c r="D15" i="1"/>
  <c r="D7" i="4"/>
  <c r="D10" i="4"/>
  <c r="D16" i="4"/>
  <c r="D23" i="4"/>
  <c r="D5" i="4"/>
  <c r="D10" i="5"/>
  <c r="D6" i="5"/>
  <c r="D21" i="5"/>
  <c r="D17" i="5"/>
  <c r="D24" i="5"/>
  <c r="D8" i="6"/>
  <c r="D13" i="6"/>
  <c r="D17" i="6"/>
  <c r="D21" i="6"/>
  <c r="I84" i="6"/>
  <c r="I76" i="6"/>
  <c r="I68" i="6"/>
  <c r="I54" i="6"/>
  <c r="I47" i="6"/>
  <c r="I41" i="6"/>
  <c r="I34" i="6"/>
  <c r="I57" i="6"/>
  <c r="I62" i="6"/>
  <c r="I67" i="6"/>
  <c r="I74" i="6"/>
  <c r="I82" i="6"/>
  <c r="D12" i="8"/>
  <c r="D14" i="8"/>
  <c r="D19" i="8"/>
  <c r="D15" i="8"/>
  <c r="D17" i="4"/>
  <c r="D11" i="6"/>
  <c r="I77" i="6"/>
  <c r="I48" i="6"/>
  <c r="D10" i="1"/>
  <c r="D22" i="1"/>
  <c r="D18" i="1"/>
  <c r="D24" i="1"/>
  <c r="K28" i="1"/>
  <c r="I33" i="1" s="1"/>
  <c r="D6" i="4"/>
  <c r="D9" i="4"/>
  <c r="D15" i="4"/>
  <c r="D22" i="4"/>
  <c r="D5" i="5"/>
  <c r="D9" i="5"/>
  <c r="D20" i="5"/>
  <c r="D16" i="5"/>
  <c r="D9" i="6"/>
  <c r="D14" i="6"/>
  <c r="D18" i="6"/>
  <c r="D23" i="6"/>
  <c r="K28" i="4"/>
  <c r="I30" i="4" s="1"/>
  <c r="H31" i="4" s="1"/>
  <c r="I31" i="4" s="1"/>
  <c r="H32" i="4" s="1"/>
  <c r="I32" i="4" s="1"/>
  <c r="H33" i="4" s="1"/>
  <c r="J30" i="4" s="1"/>
  <c r="I83" i="6"/>
  <c r="I75" i="6"/>
  <c r="I66" i="6"/>
  <c r="I51" i="6"/>
  <c r="I45" i="6"/>
  <c r="I40" i="6"/>
  <c r="I32" i="6"/>
  <c r="I33" i="6"/>
  <c r="I39" i="6"/>
  <c r="I52" i="6"/>
  <c r="I58" i="6"/>
  <c r="I70" i="6"/>
  <c r="I78" i="6"/>
  <c r="I86" i="6"/>
  <c r="D5" i="8"/>
  <c r="D11" i="8"/>
  <c r="D22" i="8"/>
  <c r="D18" i="8"/>
  <c r="D24" i="8"/>
  <c r="D11" i="4"/>
  <c r="D7" i="6"/>
  <c r="D20" i="6"/>
  <c r="I85" i="6"/>
  <c r="I56" i="6"/>
  <c r="I35" i="6"/>
  <c r="I31" i="6"/>
  <c r="I72" i="6"/>
  <c r="D8" i="8"/>
  <c r="D20" i="8"/>
  <c r="D11" i="1"/>
  <c r="D21" i="1"/>
  <c r="D17" i="1"/>
  <c r="D12" i="4"/>
  <c r="D14" i="4"/>
  <c r="D19" i="4"/>
  <c r="D21" i="4"/>
  <c r="D12" i="5"/>
  <c r="D8" i="5"/>
  <c r="D14" i="5"/>
  <c r="D19" i="5"/>
  <c r="D5" i="6"/>
  <c r="D10" i="6"/>
  <c r="D15" i="6"/>
  <c r="D19" i="6"/>
  <c r="I87" i="6"/>
  <c r="I80" i="6"/>
  <c r="I73" i="6"/>
  <c r="I59" i="6"/>
  <c r="I49" i="6"/>
  <c r="I44" i="6"/>
  <c r="I36" i="6"/>
  <c r="I29" i="6"/>
  <c r="K29" i="6" s="1"/>
  <c r="J30" i="6" s="1"/>
  <c r="K30" i="6" s="1"/>
  <c r="J31" i="6" s="1"/>
  <c r="I43" i="6"/>
  <c r="I53" i="6"/>
  <c r="I60" i="6"/>
  <c r="I64" i="6"/>
  <c r="I71" i="6"/>
  <c r="I79" i="6"/>
  <c r="D6" i="8"/>
  <c r="D10" i="8"/>
  <c r="D21" i="8"/>
  <c r="D17" i="8"/>
  <c r="N30" i="4"/>
  <c r="H31" i="1"/>
  <c r="I31" i="1" s="1"/>
  <c r="H32" i="1" s="1"/>
  <c r="I32" i="1" s="1"/>
  <c r="H33" i="1" s="1"/>
  <c r="R3" i="2"/>
  <c r="R10" i="2"/>
  <c r="R7" i="2"/>
  <c r="R6" i="2"/>
  <c r="C4" i="12"/>
  <c r="R1" i="12" s="1"/>
  <c r="Q3" i="12"/>
  <c r="C4" i="11"/>
  <c r="L1" i="11" s="1"/>
  <c r="K31" i="11"/>
  <c r="P3" i="11"/>
  <c r="P7" i="2"/>
  <c r="P6" i="2"/>
  <c r="P5" i="2"/>
  <c r="Q10" i="2"/>
  <c r="K9" i="2" l="1"/>
  <c r="J34" i="12"/>
  <c r="K34" i="12" s="1"/>
  <c r="J35" i="12" s="1"/>
  <c r="K35" i="12" s="1"/>
  <c r="J36" i="12" s="1"/>
  <c r="K36" i="12" s="1"/>
  <c r="K96" i="14"/>
  <c r="J97" i="14" s="1"/>
  <c r="J34" i="14"/>
  <c r="K34" i="14" s="1"/>
  <c r="M8" i="12"/>
  <c r="N8" i="12" s="1"/>
  <c r="L5" i="2" s="1"/>
  <c r="V1" i="12"/>
  <c r="V3" i="12" s="1"/>
  <c r="U4" i="12" s="1"/>
  <c r="V4" i="12" s="1"/>
  <c r="U5" i="12" s="1"/>
  <c r="V5" i="12" s="1"/>
  <c r="U6" i="12" s="1"/>
  <c r="V6" i="12" s="1"/>
  <c r="U7" i="12" s="1"/>
  <c r="V7" i="12" s="1"/>
  <c r="L9" i="2"/>
  <c r="K31" i="6"/>
  <c r="J32" i="6" s="1"/>
  <c r="K32" i="6" s="1"/>
  <c r="J33" i="6" s="1"/>
  <c r="K33" i="6" s="1"/>
  <c r="J34" i="6" s="1"/>
  <c r="K34" i="6" s="1"/>
  <c r="J35" i="6" s="1"/>
  <c r="K35" i="6" s="1"/>
  <c r="J36" i="6" s="1"/>
  <c r="K36" i="6" s="1"/>
  <c r="J37" i="6" s="1"/>
  <c r="K37" i="6" s="1"/>
  <c r="J38" i="6" s="1"/>
  <c r="K38" i="6" s="1"/>
  <c r="J39" i="6" s="1"/>
  <c r="K39" i="6" s="1"/>
  <c r="J40" i="6" s="1"/>
  <c r="K40" i="6" s="1"/>
  <c r="J41" i="6" s="1"/>
  <c r="K41" i="6" s="1"/>
  <c r="J42" i="6" s="1"/>
  <c r="K42" i="6" s="1"/>
  <c r="J43" i="6" s="1"/>
  <c r="K43" i="6" s="1"/>
  <c r="J44" i="6" s="1"/>
  <c r="K44" i="6" s="1"/>
  <c r="J45" i="6" s="1"/>
  <c r="K45" i="6" s="1"/>
  <c r="J46" i="6" s="1"/>
  <c r="K46" i="6" s="1"/>
  <c r="J47" i="6" s="1"/>
  <c r="K47" i="6" s="1"/>
  <c r="J48" i="6" s="1"/>
  <c r="K48" i="6" s="1"/>
  <c r="J49" i="6" s="1"/>
  <c r="K49" i="6" s="1"/>
  <c r="J50" i="6" s="1"/>
  <c r="K50" i="6" s="1"/>
  <c r="J51" i="6" s="1"/>
  <c r="K51" i="6" s="1"/>
  <c r="J52" i="6" s="1"/>
  <c r="K52" i="6" s="1"/>
  <c r="J53" i="6" s="1"/>
  <c r="K53" i="6" s="1"/>
  <c r="J54" i="6" s="1"/>
  <c r="K54" i="6" s="1"/>
  <c r="J55" i="6" s="1"/>
  <c r="K55" i="6" s="1"/>
  <c r="J56" i="6" s="1"/>
  <c r="K56" i="6" s="1"/>
  <c r="J57" i="6" s="1"/>
  <c r="K57" i="6" s="1"/>
  <c r="J58" i="6" s="1"/>
  <c r="K58" i="6" s="1"/>
  <c r="J59" i="6" s="1"/>
  <c r="K59" i="6" s="1"/>
  <c r="J60" i="6" s="1"/>
  <c r="K60" i="6" s="1"/>
  <c r="J61" i="6" s="1"/>
  <c r="K61" i="6" s="1"/>
  <c r="J62" i="6" s="1"/>
  <c r="K62" i="6" s="1"/>
  <c r="J63" i="6" s="1"/>
  <c r="K63" i="6" s="1"/>
  <c r="J64" i="6" s="1"/>
  <c r="K64" i="6" s="1"/>
  <c r="J65" i="6" s="1"/>
  <c r="K65" i="6" s="1"/>
  <c r="J66" i="6" s="1"/>
  <c r="K66" i="6" s="1"/>
  <c r="J67" i="6" s="1"/>
  <c r="K67" i="6" s="1"/>
  <c r="J68" i="6" s="1"/>
  <c r="K68" i="6" s="1"/>
  <c r="J69" i="6" s="1"/>
  <c r="K69" i="6" s="1"/>
  <c r="J70" i="6" s="1"/>
  <c r="K70" i="6" s="1"/>
  <c r="J71" i="6" s="1"/>
  <c r="K71" i="6" s="1"/>
  <c r="J72" i="6" s="1"/>
  <c r="K72" i="6" s="1"/>
  <c r="J73" i="6" s="1"/>
  <c r="K73" i="6" s="1"/>
  <c r="J74" i="6" s="1"/>
  <c r="K74" i="6" s="1"/>
  <c r="J75" i="6" s="1"/>
  <c r="K75" i="6" s="1"/>
  <c r="J76" i="6" s="1"/>
  <c r="K76" i="6" s="1"/>
  <c r="J77" i="6" s="1"/>
  <c r="K77" i="6" s="1"/>
  <c r="J78" i="6" s="1"/>
  <c r="K78" i="6" s="1"/>
  <c r="J79" i="6" s="1"/>
  <c r="K79" i="6" s="1"/>
  <c r="J80" i="6" s="1"/>
  <c r="K80" i="6" s="1"/>
  <c r="J81" i="6" s="1"/>
  <c r="K81" i="6" s="1"/>
  <c r="J82" i="6" s="1"/>
  <c r="K82" i="6" s="1"/>
  <c r="J83" i="6" s="1"/>
  <c r="K83" i="6" s="1"/>
  <c r="J84" i="6" s="1"/>
  <c r="K84" i="6" s="1"/>
  <c r="J85" i="6" s="1"/>
  <c r="K85" i="6" s="1"/>
  <c r="J86" i="6" s="1"/>
  <c r="K86" i="6" s="1"/>
  <c r="J87" i="6" s="1"/>
  <c r="K87" i="6" s="1"/>
  <c r="J88" i="6" s="1"/>
  <c r="K88" i="6" s="1"/>
  <c r="I96" i="4"/>
  <c r="H97" i="4" s="1"/>
  <c r="I97" i="4" s="1"/>
  <c r="H98" i="4" s="1"/>
  <c r="I98" i="4" s="1"/>
  <c r="H99" i="4" s="1"/>
  <c r="I99" i="4" s="1"/>
  <c r="H100" i="4" s="1"/>
  <c r="I100" i="4" s="1"/>
  <c r="H101" i="4" s="1"/>
  <c r="I101" i="4" s="1"/>
  <c r="H102" i="4" s="1"/>
  <c r="I102" i="4" s="1"/>
  <c r="H103" i="4" s="1"/>
  <c r="I103" i="4" s="1"/>
  <c r="H104" i="4" s="1"/>
  <c r="I104" i="4" s="1"/>
  <c r="H105" i="4" s="1"/>
  <c r="I105" i="4" s="1"/>
  <c r="H106" i="4" s="1"/>
  <c r="I106" i="4" s="1"/>
  <c r="H107" i="4" s="1"/>
  <c r="I107" i="4" s="1"/>
  <c r="H108" i="4" s="1"/>
  <c r="I108" i="4" s="1"/>
  <c r="H109" i="4" s="1"/>
  <c r="I109" i="4" s="1"/>
  <c r="H110" i="4" s="1"/>
  <c r="I110" i="4" s="1"/>
  <c r="H111" i="4" s="1"/>
  <c r="I111" i="4" s="1"/>
  <c r="H112" i="4" s="1"/>
  <c r="I112" i="4" s="1"/>
  <c r="H113" i="4" s="1"/>
  <c r="I113" i="4" s="1"/>
  <c r="H114" i="4" s="1"/>
  <c r="I32" i="5"/>
  <c r="H33" i="5" s="1"/>
  <c r="I33" i="5" s="1"/>
  <c r="H34" i="5" s="1"/>
  <c r="I34" i="5" s="1"/>
  <c r="H35" i="5" s="1"/>
  <c r="I35" i="5" s="1"/>
  <c r="H36" i="5" s="1"/>
  <c r="I36" i="5" s="1"/>
  <c r="H37" i="5" s="1"/>
  <c r="I37" i="5" s="1"/>
  <c r="H38" i="5" s="1"/>
  <c r="I38" i="5" s="1"/>
  <c r="H39" i="5" s="1"/>
  <c r="I39" i="5" s="1"/>
  <c r="H40" i="5" s="1"/>
  <c r="I40" i="5" s="1"/>
  <c r="H41" i="5" s="1"/>
  <c r="I41" i="5" s="1"/>
  <c r="H42" i="5" s="1"/>
  <c r="I42" i="5" s="1"/>
  <c r="H43" i="5" s="1"/>
  <c r="I43" i="5" s="1"/>
  <c r="H44" i="5" s="1"/>
  <c r="I44" i="5" s="1"/>
  <c r="H45" i="5" s="1"/>
  <c r="I45" i="5" s="1"/>
  <c r="H46" i="5" s="1"/>
  <c r="I46" i="5" s="1"/>
  <c r="H47" i="5" s="1"/>
  <c r="I47" i="5" s="1"/>
  <c r="H48" i="5" s="1"/>
  <c r="I48" i="5" s="1"/>
  <c r="H49" i="5" s="1"/>
  <c r="I49" i="5" s="1"/>
  <c r="H50" i="5" s="1"/>
  <c r="I50" i="5" s="1"/>
  <c r="H51" i="5" s="1"/>
  <c r="I51" i="5" s="1"/>
  <c r="H52" i="5" s="1"/>
  <c r="I52" i="5" s="1"/>
  <c r="H53" i="5" s="1"/>
  <c r="I53" i="5" s="1"/>
  <c r="H54" i="5" s="1"/>
  <c r="I54" i="5" s="1"/>
  <c r="H55" i="5" s="1"/>
  <c r="I55" i="5" s="1"/>
  <c r="H56" i="5" s="1"/>
  <c r="I56" i="5" s="1"/>
  <c r="H57" i="5" s="1"/>
  <c r="I57" i="5" s="1"/>
  <c r="H58" i="5" s="1"/>
  <c r="I58" i="5" s="1"/>
  <c r="H59" i="5" s="1"/>
  <c r="I59" i="5" s="1"/>
  <c r="H60" i="5" s="1"/>
  <c r="I60" i="5" s="1"/>
  <c r="H61" i="5" s="1"/>
  <c r="I61" i="5" s="1"/>
  <c r="H62" i="5" s="1"/>
  <c r="I62" i="5" s="1"/>
  <c r="H63" i="5" s="1"/>
  <c r="I63" i="5" s="1"/>
  <c r="H64" i="5" s="1"/>
  <c r="I64" i="5" s="1"/>
  <c r="H65" i="5" s="1"/>
  <c r="I65" i="5" s="1"/>
  <c r="H66" i="5" s="1"/>
  <c r="I66" i="5" s="1"/>
  <c r="H67" i="5" s="1"/>
  <c r="I67" i="5" s="1"/>
  <c r="H68" i="5" s="1"/>
  <c r="I68" i="5" s="1"/>
  <c r="H69" i="5" s="1"/>
  <c r="I69" i="5" s="1"/>
  <c r="H70" i="5" s="1"/>
  <c r="I70" i="5" s="1"/>
  <c r="H71" i="5" s="1"/>
  <c r="I71" i="5" s="1"/>
  <c r="H72" i="5" s="1"/>
  <c r="I72" i="5" s="1"/>
  <c r="H73" i="5" s="1"/>
  <c r="I73" i="5" s="1"/>
  <c r="H74" i="5" s="1"/>
  <c r="I74" i="5" s="1"/>
  <c r="H75" i="5" s="1"/>
  <c r="I75" i="5" s="1"/>
  <c r="H76" i="5" s="1"/>
  <c r="I76" i="5" s="1"/>
  <c r="H77" i="5" s="1"/>
  <c r="I77" i="5" s="1"/>
  <c r="H78" i="5" s="1"/>
  <c r="I78" i="5" s="1"/>
  <c r="H79" i="5" s="1"/>
  <c r="I79" i="5" s="1"/>
  <c r="H80" i="5" s="1"/>
  <c r="I80" i="5" s="1"/>
  <c r="H81" i="5" s="1"/>
  <c r="I81" i="5" s="1"/>
  <c r="H82" i="5" s="1"/>
  <c r="I82" i="5" s="1"/>
  <c r="H83" i="5" s="1"/>
  <c r="I83" i="5" s="1"/>
  <c r="H84" i="5" s="1"/>
  <c r="I84" i="5" s="1"/>
  <c r="H85" i="5" s="1"/>
  <c r="I85" i="5" s="1"/>
  <c r="H86" i="5" s="1"/>
  <c r="I86" i="5" s="1"/>
  <c r="H87" i="5" s="1"/>
  <c r="I87" i="5" s="1"/>
  <c r="H88" i="5" s="1"/>
  <c r="I88" i="5" s="1"/>
  <c r="H89" i="5" s="1"/>
  <c r="I89" i="5" s="1"/>
  <c r="D4" i="6"/>
  <c r="G9" i="2" s="1"/>
  <c r="D4" i="1"/>
  <c r="M7" i="1" s="1"/>
  <c r="N7" i="1" s="1"/>
  <c r="D5" i="2" s="1"/>
  <c r="D4" i="5"/>
  <c r="AB17" i="13" s="1"/>
  <c r="D4" i="4"/>
  <c r="AB23" i="13" s="1"/>
  <c r="D4" i="8"/>
  <c r="I33" i="4"/>
  <c r="H34" i="4" s="1"/>
  <c r="I34" i="4" s="1"/>
  <c r="H35" i="4" s="1"/>
  <c r="I35" i="4" s="1"/>
  <c r="H36" i="4" s="1"/>
  <c r="I36" i="4" s="1"/>
  <c r="H37" i="4" s="1"/>
  <c r="I37" i="4" s="1"/>
  <c r="H38" i="4" s="1"/>
  <c r="I38" i="4" s="1"/>
  <c r="H39" i="4" s="1"/>
  <c r="I39" i="4" s="1"/>
  <c r="H40" i="4" s="1"/>
  <c r="I40" i="4" s="1"/>
  <c r="H41" i="4" s="1"/>
  <c r="I41" i="4" s="1"/>
  <c r="H42" i="4" s="1"/>
  <c r="I42" i="4" s="1"/>
  <c r="H43" i="4" s="1"/>
  <c r="I43" i="4" s="1"/>
  <c r="H44" i="4" s="1"/>
  <c r="I44" i="4" s="1"/>
  <c r="H45" i="4" s="1"/>
  <c r="I45" i="4" s="1"/>
  <c r="H46" i="4" s="1"/>
  <c r="I46" i="4" s="1"/>
  <c r="H47" i="4" s="1"/>
  <c r="I47" i="4" s="1"/>
  <c r="H48" i="4" s="1"/>
  <c r="I48" i="4" s="1"/>
  <c r="H49" i="4" s="1"/>
  <c r="I49" i="4" s="1"/>
  <c r="H50" i="4" s="1"/>
  <c r="I50" i="4" s="1"/>
  <c r="H51" i="4" s="1"/>
  <c r="I51" i="4" s="1"/>
  <c r="H52" i="4" s="1"/>
  <c r="I52" i="4" s="1"/>
  <c r="H53" i="4" s="1"/>
  <c r="I53" i="4" s="1"/>
  <c r="H54" i="4" s="1"/>
  <c r="I54" i="4" s="1"/>
  <c r="H55" i="4" s="1"/>
  <c r="I55" i="4" s="1"/>
  <c r="H56" i="4" s="1"/>
  <c r="I56" i="4" s="1"/>
  <c r="H57" i="4" s="1"/>
  <c r="I57" i="4" s="1"/>
  <c r="H58" i="4" s="1"/>
  <c r="I58" i="4" s="1"/>
  <c r="H59" i="4" s="1"/>
  <c r="I59" i="4" s="1"/>
  <c r="H60" i="4" s="1"/>
  <c r="I60" i="4" s="1"/>
  <c r="H61" i="4" s="1"/>
  <c r="I61" i="4" s="1"/>
  <c r="H62" i="4" s="1"/>
  <c r="I62" i="4" s="1"/>
  <c r="H63" i="4" s="1"/>
  <c r="I63" i="4" s="1"/>
  <c r="H64" i="4" s="1"/>
  <c r="I64" i="4" s="1"/>
  <c r="H65" i="4" s="1"/>
  <c r="I65" i="4" s="1"/>
  <c r="H66" i="4" s="1"/>
  <c r="I66" i="4" s="1"/>
  <c r="H67" i="4" s="1"/>
  <c r="I67" i="4" s="1"/>
  <c r="H68" i="4" s="1"/>
  <c r="I68" i="4" s="1"/>
  <c r="H69" i="4" s="1"/>
  <c r="I69" i="4" s="1"/>
  <c r="H70" i="4" s="1"/>
  <c r="I70" i="4" s="1"/>
  <c r="H71" i="4" s="1"/>
  <c r="I71" i="4" s="1"/>
  <c r="H72" i="4" s="1"/>
  <c r="I72" i="4" s="1"/>
  <c r="H73" i="4" s="1"/>
  <c r="I73" i="4" s="1"/>
  <c r="H74" i="4" s="1"/>
  <c r="I74" i="4" s="1"/>
  <c r="H75" i="4" s="1"/>
  <c r="I75" i="4" s="1"/>
  <c r="H76" i="4" s="1"/>
  <c r="I76" i="4" s="1"/>
  <c r="H77" i="4" s="1"/>
  <c r="I77" i="4" s="1"/>
  <c r="H78" i="4" s="1"/>
  <c r="I78" i="4" s="1"/>
  <c r="H79" i="4" s="1"/>
  <c r="I79" i="4" s="1"/>
  <c r="H80" i="4" s="1"/>
  <c r="I80" i="4" s="1"/>
  <c r="H81" i="4" s="1"/>
  <c r="I81" i="4" s="1"/>
  <c r="H82" i="4" s="1"/>
  <c r="I82" i="4" s="1"/>
  <c r="H83" i="4" s="1"/>
  <c r="I83" i="4" s="1"/>
  <c r="H84" i="4" s="1"/>
  <c r="I84" i="4" s="1"/>
  <c r="H85" i="4" s="1"/>
  <c r="I85" i="4" s="1"/>
  <c r="H86" i="4" s="1"/>
  <c r="I86" i="4" s="1"/>
  <c r="H87" i="4" s="1"/>
  <c r="I87" i="4" s="1"/>
  <c r="H88" i="4" s="1"/>
  <c r="I88" i="4" s="1"/>
  <c r="H89" i="4" s="1"/>
  <c r="I89" i="4" s="1"/>
  <c r="I86" i="1"/>
  <c r="H87" i="1" s="1"/>
  <c r="I87" i="1" s="1"/>
  <c r="H88" i="1" s="1"/>
  <c r="I88" i="1" s="1"/>
  <c r="H89" i="1" s="1"/>
  <c r="I89" i="1" s="1"/>
  <c r="H90" i="1" s="1"/>
  <c r="I90" i="1" s="1"/>
  <c r="H91" i="1" s="1"/>
  <c r="H34" i="1"/>
  <c r="I34" i="1" s="1"/>
  <c r="H35" i="1" s="1"/>
  <c r="I35" i="1" s="1"/>
  <c r="H36" i="1" s="1"/>
  <c r="I36" i="1" s="1"/>
  <c r="H37" i="1" s="1"/>
  <c r="R3" i="12"/>
  <c r="Q4" i="12" s="1"/>
  <c r="R4" i="12" s="1"/>
  <c r="Q5" i="12" s="1"/>
  <c r="R5" i="12" s="1"/>
  <c r="Q6" i="12" s="1"/>
  <c r="R6" i="12" s="1"/>
  <c r="Q7" i="12" s="1"/>
  <c r="R7" i="12" s="1"/>
  <c r="M1" i="12"/>
  <c r="M1" i="11"/>
  <c r="L4" i="11"/>
  <c r="M4" i="11" s="1"/>
  <c r="Q1" i="11"/>
  <c r="Q3" i="11" s="1"/>
  <c r="P4" i="11" s="1"/>
  <c r="Q4" i="11" s="1"/>
  <c r="P5" i="11" s="1"/>
  <c r="Q5" i="11" s="1"/>
  <c r="P6" i="11" s="1"/>
  <c r="Q6" i="11" s="1"/>
  <c r="P7" i="11" s="1"/>
  <c r="Q7" i="11" s="1"/>
  <c r="L4" i="10"/>
  <c r="M4" i="10" s="1"/>
  <c r="B4" i="3"/>
  <c r="L1" i="3"/>
  <c r="L4" i="3" s="1"/>
  <c r="M4" i="3" s="1"/>
  <c r="C4" i="9"/>
  <c r="R1" i="9" s="1"/>
  <c r="C4" i="10"/>
  <c r="L1" i="10" s="1"/>
  <c r="M1" i="10" s="1"/>
  <c r="P3" i="10"/>
  <c r="Q3" i="9"/>
  <c r="C4" i="8"/>
  <c r="Q3" i="8"/>
  <c r="C4" i="6"/>
  <c r="Q3" i="6"/>
  <c r="R1" i="5"/>
  <c r="R3" i="5" s="1"/>
  <c r="Q4" i="5" s="1"/>
  <c r="R4" i="5" s="1"/>
  <c r="Q5" i="5" s="1"/>
  <c r="R5" i="5" s="1"/>
  <c r="Q6" i="5" s="1"/>
  <c r="R6" i="5" s="1"/>
  <c r="Q7" i="5" s="1"/>
  <c r="R7" i="5" s="1"/>
  <c r="C4" i="5"/>
  <c r="Q3" i="5"/>
  <c r="C4" i="4"/>
  <c r="M1" i="4" s="1"/>
  <c r="N1" i="4" s="1"/>
  <c r="F4" i="4"/>
  <c r="Q3" i="4"/>
  <c r="R3" i="4" s="1"/>
  <c r="Q4" i="4" s="1"/>
  <c r="R4" i="4" s="1"/>
  <c r="Q5" i="4" s="1"/>
  <c r="R5" i="4" s="1"/>
  <c r="Q6" i="4" s="1"/>
  <c r="R6" i="4" s="1"/>
  <c r="Q7" i="4" s="1"/>
  <c r="R7" i="4" s="1"/>
  <c r="K97" i="14" l="1"/>
  <c r="J98" i="14" s="1"/>
  <c r="J35" i="14"/>
  <c r="K35" i="14" s="1"/>
  <c r="J37" i="12"/>
  <c r="K37" i="12" s="1"/>
  <c r="AB19" i="13"/>
  <c r="M7" i="6"/>
  <c r="N7" i="6" s="1"/>
  <c r="G5" i="2" s="1"/>
  <c r="D9" i="2"/>
  <c r="V1" i="6"/>
  <c r="V3" i="6" s="1"/>
  <c r="U4" i="6" s="1"/>
  <c r="V4" i="6" s="1"/>
  <c r="U5" i="6" s="1"/>
  <c r="V5" i="6" s="1"/>
  <c r="U6" i="6" s="1"/>
  <c r="V6" i="6" s="1"/>
  <c r="U7" i="6" s="1"/>
  <c r="V7" i="6" s="1"/>
  <c r="V1" i="1"/>
  <c r="V3" i="1" s="1"/>
  <c r="U4" i="1" s="1"/>
  <c r="V4" i="1" s="1"/>
  <c r="U5" i="1" s="1"/>
  <c r="V5" i="1" s="1"/>
  <c r="U6" i="1" s="1"/>
  <c r="V6" i="1" s="1"/>
  <c r="U7" i="1" s="1"/>
  <c r="V7" i="1" s="1"/>
  <c r="H9" i="2"/>
  <c r="V1" i="8"/>
  <c r="V3" i="8" s="1"/>
  <c r="U4" i="8" s="1"/>
  <c r="V4" i="8" s="1"/>
  <c r="U5" i="8" s="1"/>
  <c r="V5" i="8" s="1"/>
  <c r="U6" i="8" s="1"/>
  <c r="V6" i="8" s="1"/>
  <c r="U7" i="8" s="1"/>
  <c r="V7" i="8" s="1"/>
  <c r="M7" i="8"/>
  <c r="N7" i="8" s="1"/>
  <c r="H5" i="2" s="1"/>
  <c r="M7" i="4"/>
  <c r="N7" i="4" s="1"/>
  <c r="E5" i="2" s="1"/>
  <c r="Q5" i="2" s="1"/>
  <c r="E9" i="2"/>
  <c r="V1" i="4"/>
  <c r="V3" i="4" s="1"/>
  <c r="U4" i="4" s="1"/>
  <c r="V4" i="4" s="1"/>
  <c r="U5" i="4" s="1"/>
  <c r="V5" i="4" s="1"/>
  <c r="U6" i="4" s="1"/>
  <c r="V6" i="4" s="1"/>
  <c r="U7" i="4" s="1"/>
  <c r="V7" i="4" s="1"/>
  <c r="M7" i="5"/>
  <c r="N7" i="5" s="1"/>
  <c r="F5" i="2" s="1"/>
  <c r="F9" i="2"/>
  <c r="V1" i="5"/>
  <c r="V3" i="5" s="1"/>
  <c r="U4" i="5" s="1"/>
  <c r="V4" i="5" s="1"/>
  <c r="U5" i="5" s="1"/>
  <c r="V5" i="5" s="1"/>
  <c r="U6" i="5" s="1"/>
  <c r="V6" i="5" s="1"/>
  <c r="U7" i="5" s="1"/>
  <c r="V7" i="5" s="1"/>
  <c r="M1" i="8"/>
  <c r="M1" i="6"/>
  <c r="M1" i="5"/>
  <c r="I114" i="4"/>
  <c r="H115" i="4" s="1"/>
  <c r="I115" i="4" s="1"/>
  <c r="H116" i="4" s="1"/>
  <c r="M4" i="4"/>
  <c r="N4" i="4" s="1"/>
  <c r="I91" i="1"/>
  <c r="H92" i="1" s="1"/>
  <c r="I92" i="1" s="1"/>
  <c r="H93" i="1" s="1"/>
  <c r="I93" i="1" s="1"/>
  <c r="H94" i="1" s="1"/>
  <c r="I37" i="1"/>
  <c r="H38" i="1" s="1"/>
  <c r="I38" i="1" s="1"/>
  <c r="H39" i="1" s="1"/>
  <c r="I39" i="1" s="1"/>
  <c r="H40" i="1" s="1"/>
  <c r="I40" i="1" s="1"/>
  <c r="H41" i="1" s="1"/>
  <c r="N1" i="12"/>
  <c r="M5" i="12"/>
  <c r="N5" i="12" s="1"/>
  <c r="R5" i="2" s="1"/>
  <c r="M1" i="3"/>
  <c r="Q1" i="10"/>
  <c r="Q3" i="10" s="1"/>
  <c r="P4" i="10" s="1"/>
  <c r="Q4" i="10" s="1"/>
  <c r="P5" i="10" s="1"/>
  <c r="Q5" i="10" s="1"/>
  <c r="P6" i="10" s="1"/>
  <c r="Q6" i="10" s="1"/>
  <c r="P7" i="10" s="1"/>
  <c r="Q7" i="10" s="1"/>
  <c r="M1" i="9"/>
  <c r="R3" i="9"/>
  <c r="Q4" i="9" s="1"/>
  <c r="R4" i="9" s="1"/>
  <c r="Q5" i="9" s="1"/>
  <c r="R5" i="9" s="1"/>
  <c r="Q6" i="9" s="1"/>
  <c r="R6" i="9" s="1"/>
  <c r="Q7" i="9" s="1"/>
  <c r="R7" i="9" s="1"/>
  <c r="R1" i="8"/>
  <c r="R3" i="8" s="1"/>
  <c r="Q4" i="8" s="1"/>
  <c r="R4" i="8" s="1"/>
  <c r="Q5" i="8" s="1"/>
  <c r="R5" i="8" s="1"/>
  <c r="Q6" i="8" s="1"/>
  <c r="R6" i="8" s="1"/>
  <c r="Q7" i="8" s="1"/>
  <c r="R7" i="8" s="1"/>
  <c r="R1" i="6"/>
  <c r="P3" i="3"/>
  <c r="Q3" i="3" s="1"/>
  <c r="P4" i="3" s="1"/>
  <c r="Q4" i="3" s="1"/>
  <c r="P5" i="3" s="1"/>
  <c r="Q5" i="3" s="1"/>
  <c r="P6" i="3" s="1"/>
  <c r="Q6" i="3" s="1"/>
  <c r="P7" i="3" s="1"/>
  <c r="Q7" i="3" s="1"/>
  <c r="Q3" i="1"/>
  <c r="C4" i="1"/>
  <c r="K98" i="14" l="1"/>
  <c r="J99" i="14" s="1"/>
  <c r="J36" i="14"/>
  <c r="K36" i="14" s="1"/>
  <c r="J38" i="12"/>
  <c r="K38" i="12" s="1"/>
  <c r="N1" i="9"/>
  <c r="M5" i="9"/>
  <c r="N5" i="9" s="1"/>
  <c r="N1" i="8"/>
  <c r="M4" i="8"/>
  <c r="N4" i="8" s="1"/>
  <c r="R3" i="6"/>
  <c r="Q4" i="6" s="1"/>
  <c r="R4" i="6" s="1"/>
  <c r="Q5" i="6" s="1"/>
  <c r="R5" i="6" s="1"/>
  <c r="Q6" i="6" s="1"/>
  <c r="R6" i="6" s="1"/>
  <c r="Q7" i="6" s="1"/>
  <c r="R7" i="6" s="1"/>
  <c r="N1" i="6"/>
  <c r="M4" i="6"/>
  <c r="N4" i="6" s="1"/>
  <c r="N1" i="5"/>
  <c r="M4" i="5"/>
  <c r="N4" i="5" s="1"/>
  <c r="I116" i="4"/>
  <c r="H117" i="4" s="1"/>
  <c r="I117" i="4" s="1"/>
  <c r="H118" i="4" s="1"/>
  <c r="I94" i="1"/>
  <c r="H95" i="1" s="1"/>
  <c r="I95" i="1" s="1"/>
  <c r="H96" i="1" s="1"/>
  <c r="I96" i="1" s="1"/>
  <c r="H97" i="1" s="1"/>
  <c r="I97" i="1" s="1"/>
  <c r="H98" i="1" s="1"/>
  <c r="I98" i="1" s="1"/>
  <c r="H99" i="1" s="1"/>
  <c r="AA19" i="13"/>
  <c r="I41" i="1"/>
  <c r="H42" i="1" s="1"/>
  <c r="I42" i="1" s="1"/>
  <c r="H43" i="1" s="1"/>
  <c r="I43" i="1" s="1"/>
  <c r="H44" i="1" s="1"/>
  <c r="R3" i="1"/>
  <c r="Q4" i="1" s="1"/>
  <c r="R4" i="1" s="1"/>
  <c r="Q5" i="1" s="1"/>
  <c r="R5" i="1" s="1"/>
  <c r="Q6" i="1" s="1"/>
  <c r="R6" i="1" s="1"/>
  <c r="Q7" i="1" s="1"/>
  <c r="R7" i="1" s="1"/>
  <c r="M1" i="1"/>
  <c r="K99" i="14" l="1"/>
  <c r="J100" i="14" s="1"/>
  <c r="J37" i="14"/>
  <c r="K37" i="14" s="1"/>
  <c r="J39" i="12"/>
  <c r="K39" i="12" s="1"/>
  <c r="I118" i="4"/>
  <c r="H119" i="4" s="1"/>
  <c r="I119" i="4" s="1"/>
  <c r="H120" i="4" s="1"/>
  <c r="I120" i="4" s="1"/>
  <c r="H121" i="4" s="1"/>
  <c r="I121" i="4" s="1"/>
  <c r="H122" i="4" s="1"/>
  <c r="I122" i="4" s="1"/>
  <c r="H123" i="4" s="1"/>
  <c r="I123" i="4" s="1"/>
  <c r="H124" i="4" s="1"/>
  <c r="I124" i="4" s="1"/>
  <c r="H125" i="4" s="1"/>
  <c r="I125" i="4" s="1"/>
  <c r="H126" i="4" s="1"/>
  <c r="I126" i="4" s="1"/>
  <c r="H127" i="4" s="1"/>
  <c r="I127" i="4" s="1"/>
  <c r="H128" i="4" s="1"/>
  <c r="I99" i="1"/>
  <c r="H100" i="1" s="1"/>
  <c r="I100" i="1" s="1"/>
  <c r="H101" i="1" s="1"/>
  <c r="I101" i="1" s="1"/>
  <c r="H102" i="1" s="1"/>
  <c r="I102" i="1" s="1"/>
  <c r="H103" i="1" s="1"/>
  <c r="I44" i="1"/>
  <c r="H45" i="1" s="1"/>
  <c r="N1" i="1"/>
  <c r="M4" i="1"/>
  <c r="N4" i="1" s="1"/>
  <c r="K100" i="14" l="1"/>
  <c r="J101" i="14" s="1"/>
  <c r="J38" i="14"/>
  <c r="K38" i="14" s="1"/>
  <c r="J40" i="12"/>
  <c r="K40" i="12" s="1"/>
  <c r="I128" i="4"/>
  <c r="H129" i="4" s="1"/>
  <c r="I129" i="4" s="1"/>
  <c r="H130" i="4" s="1"/>
  <c r="I103" i="1"/>
  <c r="H104" i="1" s="1"/>
  <c r="I45" i="1"/>
  <c r="H46" i="1" s="1"/>
  <c r="I46" i="1" s="1"/>
  <c r="H47" i="1" s="1"/>
  <c r="I47" i="1" s="1"/>
  <c r="H48" i="1" s="1"/>
  <c r="I48" i="1" s="1"/>
  <c r="H49" i="1" s="1"/>
  <c r="I49" i="1" s="1"/>
  <c r="H50" i="1" s="1"/>
  <c r="I50" i="1" s="1"/>
  <c r="H51" i="1" s="1"/>
  <c r="I51" i="1" s="1"/>
  <c r="H52" i="1" s="1"/>
  <c r="K101" i="14" l="1"/>
  <c r="J102" i="14" s="1"/>
  <c r="J39" i="14"/>
  <c r="K39" i="14" s="1"/>
  <c r="J41" i="12"/>
  <c r="K41" i="12" s="1"/>
  <c r="I130" i="4"/>
  <c r="H131" i="4" s="1"/>
  <c r="I131" i="4" s="1"/>
  <c r="H132" i="4" s="1"/>
  <c r="I104" i="1"/>
  <c r="H105" i="1" s="1"/>
  <c r="I52" i="1"/>
  <c r="H53" i="1" s="1"/>
  <c r="K102" i="14" l="1"/>
  <c r="J103" i="14" s="1"/>
  <c r="J40" i="14"/>
  <c r="K40" i="14" s="1"/>
  <c r="J42" i="12"/>
  <c r="K42" i="12" s="1"/>
  <c r="I132" i="4"/>
  <c r="H133" i="4" s="1"/>
  <c r="I133" i="4" s="1"/>
  <c r="H134" i="4" s="1"/>
  <c r="I134" i="4" s="1"/>
  <c r="H135" i="4" s="1"/>
  <c r="I135" i="4" s="1"/>
  <c r="H136" i="4" s="1"/>
  <c r="I136" i="4" s="1"/>
  <c r="H137" i="4" s="1"/>
  <c r="I137" i="4" s="1"/>
  <c r="H138" i="4" s="1"/>
  <c r="I138" i="4" s="1"/>
  <c r="H139" i="4" s="1"/>
  <c r="I139" i="4" s="1"/>
  <c r="H140" i="4" s="1"/>
  <c r="I105" i="1"/>
  <c r="H106" i="1" s="1"/>
  <c r="I106" i="1" s="1"/>
  <c r="H107" i="1" s="1"/>
  <c r="I53" i="1"/>
  <c r="H54" i="1" s="1"/>
  <c r="I54" i="1" s="1"/>
  <c r="H55" i="1" s="1"/>
  <c r="K103" i="14" l="1"/>
  <c r="J104" i="14" s="1"/>
  <c r="J41" i="14"/>
  <c r="K41" i="14" s="1"/>
  <c r="J43" i="12"/>
  <c r="K43" i="12" s="1"/>
  <c r="I140" i="4"/>
  <c r="H141" i="4" s="1"/>
  <c r="I141" i="4" s="1"/>
  <c r="H142" i="4" s="1"/>
  <c r="I142" i="4" s="1"/>
  <c r="H143" i="4" s="1"/>
  <c r="I143" i="4" s="1"/>
  <c r="H144" i="4" s="1"/>
  <c r="I144" i="4" s="1"/>
  <c r="H145" i="4" s="1"/>
  <c r="I145" i="4" s="1"/>
  <c r="H146" i="4" s="1"/>
  <c r="I146" i="4" s="1"/>
  <c r="H147" i="4" s="1"/>
  <c r="I147" i="4" s="1"/>
  <c r="H148" i="4" s="1"/>
  <c r="I148" i="4" s="1"/>
  <c r="H149" i="4" s="1"/>
  <c r="I149" i="4" s="1"/>
  <c r="H150" i="4" s="1"/>
  <c r="I150" i="4" s="1"/>
  <c r="H151" i="4" s="1"/>
  <c r="I151" i="4" s="1"/>
  <c r="H152" i="4" s="1"/>
  <c r="I107" i="1"/>
  <c r="H108" i="1" s="1"/>
  <c r="I108" i="1" s="1"/>
  <c r="H109" i="1" s="1"/>
  <c r="I55" i="1"/>
  <c r="H56" i="1" s="1"/>
  <c r="K104" i="14" l="1"/>
  <c r="J105" i="14" s="1"/>
  <c r="J42" i="14"/>
  <c r="K42" i="14" s="1"/>
  <c r="J44" i="12"/>
  <c r="K44" i="12" s="1"/>
  <c r="I152" i="4"/>
  <c r="H153" i="4" s="1"/>
  <c r="I153" i="4" s="1"/>
  <c r="H154" i="4" s="1"/>
  <c r="I154" i="4" s="1"/>
  <c r="H155" i="4" s="1"/>
  <c r="I155" i="4" s="1"/>
  <c r="I109" i="1"/>
  <c r="H110" i="1" s="1"/>
  <c r="I56" i="1"/>
  <c r="H57" i="1" s="1"/>
  <c r="I57" i="1" s="1"/>
  <c r="H58" i="1" s="1"/>
  <c r="I58" i="1" s="1"/>
  <c r="H59" i="1" s="1"/>
  <c r="I59" i="1" s="1"/>
  <c r="H60" i="1" s="1"/>
  <c r="K105" i="14" l="1"/>
  <c r="J106" i="14" s="1"/>
  <c r="J43" i="14"/>
  <c r="K43" i="14" s="1"/>
  <c r="J45" i="12"/>
  <c r="K45" i="12" s="1"/>
  <c r="I110" i="1"/>
  <c r="H111" i="1" s="1"/>
  <c r="I60" i="1"/>
  <c r="H61" i="1" s="1"/>
  <c r="I61" i="1" s="1"/>
  <c r="H62" i="1" s="1"/>
  <c r="K106" i="14" l="1"/>
  <c r="J107" i="14" s="1"/>
  <c r="J44" i="14"/>
  <c r="K44" i="14" s="1"/>
  <c r="J46" i="12"/>
  <c r="K46" i="12" s="1"/>
  <c r="I111" i="1"/>
  <c r="H112" i="1" s="1"/>
  <c r="I62" i="1"/>
  <c r="H63" i="1" s="1"/>
  <c r="K107" i="14" l="1"/>
  <c r="J108" i="14" s="1"/>
  <c r="J45" i="14"/>
  <c r="K45" i="14" s="1"/>
  <c r="J47" i="12"/>
  <c r="K47" i="12" s="1"/>
  <c r="I112" i="1"/>
  <c r="H113" i="1" s="1"/>
  <c r="I63" i="1"/>
  <c r="H64" i="1" s="1"/>
  <c r="I64" i="1" s="1"/>
  <c r="H65" i="1" s="1"/>
  <c r="I65" i="1" s="1"/>
  <c r="H66" i="1" s="1"/>
  <c r="I66" i="1" s="1"/>
  <c r="H67" i="1" s="1"/>
  <c r="I67" i="1" s="1"/>
  <c r="H68" i="1" s="1"/>
  <c r="I68" i="1" s="1"/>
  <c r="H69" i="1" s="1"/>
  <c r="I69" i="1" s="1"/>
  <c r="H70" i="1" s="1"/>
  <c r="I70" i="1" s="1"/>
  <c r="H71" i="1" s="1"/>
  <c r="I71" i="1" s="1"/>
  <c r="H72" i="1" s="1"/>
  <c r="I72" i="1" s="1"/>
  <c r="H73" i="1" s="1"/>
  <c r="I73" i="1" s="1"/>
  <c r="H74" i="1" s="1"/>
  <c r="I74" i="1" s="1"/>
  <c r="H75" i="1" s="1"/>
  <c r="K108" i="14" l="1"/>
  <c r="J109" i="14" s="1"/>
  <c r="J46" i="14"/>
  <c r="K46" i="14" s="1"/>
  <c r="J48" i="12"/>
  <c r="K48" i="12" s="1"/>
  <c r="I113" i="1"/>
  <c r="H114" i="1" s="1"/>
  <c r="I75" i="1"/>
  <c r="H76" i="1" s="1"/>
  <c r="I76" i="1" s="1"/>
  <c r="H77" i="1" s="1"/>
  <c r="K109" i="14" l="1"/>
  <c r="J110" i="14" s="1"/>
  <c r="J47" i="14"/>
  <c r="K47" i="14" s="1"/>
  <c r="J49" i="12"/>
  <c r="K49" i="12" s="1"/>
  <c r="I114" i="1"/>
  <c r="H115" i="1" s="1"/>
  <c r="I77" i="1"/>
  <c r="H78" i="1" s="1"/>
  <c r="I78" i="1" s="1"/>
  <c r="K110" i="14" l="1"/>
  <c r="J111" i="14" s="1"/>
  <c r="J48" i="14"/>
  <c r="K48" i="14" s="1"/>
  <c r="J50" i="12"/>
  <c r="K50" i="12" s="1"/>
  <c r="I115" i="1"/>
  <c r="H116" i="1" s="1"/>
  <c r="K111" i="14" l="1"/>
  <c r="J112" i="14" s="1"/>
  <c r="J49" i="14"/>
  <c r="K49" i="14" s="1"/>
  <c r="J51" i="12"/>
  <c r="K51" i="12" s="1"/>
  <c r="I116" i="1"/>
  <c r="H117" i="1" s="1"/>
  <c r="K112" i="14" l="1"/>
  <c r="J113" i="14" s="1"/>
  <c r="J50" i="14"/>
  <c r="K50" i="14" s="1"/>
  <c r="J52" i="12"/>
  <c r="K52" i="12" s="1"/>
  <c r="I117" i="1"/>
  <c r="H118" i="1" s="1"/>
  <c r="K113" i="14" l="1"/>
  <c r="J114" i="14" s="1"/>
  <c r="J51" i="14"/>
  <c r="K51" i="14" s="1"/>
  <c r="J53" i="12"/>
  <c r="K53" i="12" s="1"/>
  <c r="I118" i="1"/>
  <c r="H119" i="1" s="1"/>
  <c r="K114" i="14" l="1"/>
  <c r="J115" i="14" s="1"/>
  <c r="J52" i="14"/>
  <c r="K52" i="14" s="1"/>
  <c r="J54" i="12"/>
  <c r="K54" i="12" s="1"/>
  <c r="I119" i="1"/>
  <c r="H120" i="1" s="1"/>
  <c r="K115" i="14" l="1"/>
  <c r="J116" i="14" s="1"/>
  <c r="J53" i="14"/>
  <c r="K53" i="14" s="1"/>
  <c r="J55" i="12"/>
  <c r="K55" i="12" s="1"/>
  <c r="I120" i="1"/>
  <c r="H121" i="1" s="1"/>
  <c r="K116" i="14" l="1"/>
  <c r="J117" i="14" s="1"/>
  <c r="J54" i="14"/>
  <c r="K54" i="14" s="1"/>
  <c r="J56" i="12"/>
  <c r="K56" i="12" s="1"/>
  <c r="I121" i="1"/>
  <c r="H122" i="1" s="1"/>
  <c r="I122" i="1" s="1"/>
  <c r="H123" i="1" s="1"/>
  <c r="I123" i="1" s="1"/>
  <c r="H124" i="1" s="1"/>
  <c r="K117" i="14" l="1"/>
  <c r="J118" i="14" s="1"/>
  <c r="J55" i="14"/>
  <c r="K55" i="14" s="1"/>
  <c r="J57" i="12"/>
  <c r="K57" i="12" s="1"/>
  <c r="I124" i="1"/>
  <c r="H125" i="1" s="1"/>
  <c r="I125" i="1" s="1"/>
  <c r="H126" i="1" s="1"/>
  <c r="K118" i="14" l="1"/>
  <c r="J119" i="14" s="1"/>
  <c r="J56" i="14"/>
  <c r="K56" i="14" s="1"/>
  <c r="J58" i="12"/>
  <c r="K58" i="12" s="1"/>
  <c r="I126" i="1"/>
  <c r="H127" i="1" s="1"/>
  <c r="K119" i="14" l="1"/>
  <c r="J120" i="14" s="1"/>
  <c r="J57" i="14"/>
  <c r="K57" i="14" s="1"/>
  <c r="J59" i="12"/>
  <c r="K59" i="12" s="1"/>
  <c r="I127" i="1"/>
  <c r="H128" i="1" s="1"/>
  <c r="K120" i="14" l="1"/>
  <c r="J121" i="14" s="1"/>
  <c r="J58" i="14"/>
  <c r="K58" i="14" s="1"/>
  <c r="J60" i="12"/>
  <c r="K60" i="12" s="1"/>
  <c r="I128" i="1"/>
  <c r="H129" i="1" s="1"/>
  <c r="K121" i="14" l="1"/>
  <c r="J122" i="14" s="1"/>
  <c r="J59" i="14"/>
  <c r="K59" i="14" s="1"/>
  <c r="J61" i="12"/>
  <c r="K61" i="12" s="1"/>
  <c r="I129" i="1"/>
  <c r="H130" i="1" s="1"/>
  <c r="I130" i="1" s="1"/>
  <c r="H131" i="1" s="1"/>
  <c r="K122" i="14" l="1"/>
  <c r="J123" i="14" s="1"/>
  <c r="J60" i="14"/>
  <c r="K60" i="14" s="1"/>
  <c r="J62" i="12"/>
  <c r="K62" i="12" s="1"/>
  <c r="I131" i="1"/>
  <c r="H132" i="1" s="1"/>
  <c r="I132" i="1" s="1"/>
  <c r="H133" i="1" s="1"/>
  <c r="K123" i="14" l="1"/>
  <c r="J124" i="14" s="1"/>
  <c r="J61" i="14"/>
  <c r="K61" i="14" s="1"/>
  <c r="J63" i="12"/>
  <c r="K63" i="12" s="1"/>
  <c r="I133" i="1"/>
  <c r="H134" i="1" s="1"/>
  <c r="I134" i="1" s="1"/>
  <c r="H135" i="1" s="1"/>
  <c r="I135" i="1" s="1"/>
  <c r="H136" i="1" s="1"/>
  <c r="K124" i="14" l="1"/>
  <c r="J125" i="14" s="1"/>
  <c r="J62" i="14"/>
  <c r="K62" i="14" s="1"/>
  <c r="J64" i="12"/>
  <c r="K64" i="12" s="1"/>
  <c r="I136" i="1"/>
  <c r="H137" i="1" s="1"/>
  <c r="I137" i="1" s="1"/>
  <c r="H138" i="1" s="1"/>
  <c r="K125" i="14" l="1"/>
  <c r="J126" i="14" s="1"/>
  <c r="J63" i="14"/>
  <c r="K63" i="14" s="1"/>
  <c r="J65" i="12"/>
  <c r="K65" i="12" s="1"/>
  <c r="I138" i="1"/>
  <c r="H139" i="1" s="1"/>
  <c r="I139" i="1" s="1"/>
  <c r="H140" i="1" s="1"/>
  <c r="I140" i="1" s="1"/>
  <c r="H141" i="1" s="1"/>
  <c r="K126" i="14" l="1"/>
  <c r="J127" i="14" s="1"/>
  <c r="J64" i="14"/>
  <c r="K64" i="14" s="1"/>
  <c r="J66" i="12"/>
  <c r="K66" i="12" s="1"/>
  <c r="I141" i="1"/>
  <c r="H142" i="1" s="1"/>
  <c r="I142" i="1" s="1"/>
  <c r="H143" i="1" s="1"/>
  <c r="K127" i="14" l="1"/>
  <c r="J128" i="14" s="1"/>
  <c r="J65" i="14"/>
  <c r="K65" i="14" s="1"/>
  <c r="J67" i="12"/>
  <c r="K67" i="12" s="1"/>
  <c r="I143" i="1"/>
  <c r="H144" i="1" s="1"/>
  <c r="I144" i="1" s="1"/>
  <c r="K128" i="14" l="1"/>
  <c r="J129" i="14" s="1"/>
  <c r="J66" i="14"/>
  <c r="K66" i="14" s="1"/>
  <c r="J68" i="12"/>
  <c r="K68" i="12" s="1"/>
  <c r="K129" i="14" l="1"/>
  <c r="J130" i="14" s="1"/>
  <c r="J67" i="14"/>
  <c r="K67" i="14" s="1"/>
  <c r="J69" i="12"/>
  <c r="K69" i="12" s="1"/>
  <c r="K130" i="14" l="1"/>
  <c r="J131" i="14" s="1"/>
  <c r="J68" i="14"/>
  <c r="K68" i="14" s="1"/>
  <c r="J70" i="12"/>
  <c r="K70" i="12" s="1"/>
  <c r="K131" i="14" l="1"/>
  <c r="J132" i="14" s="1"/>
  <c r="J69" i="14"/>
  <c r="K69" i="14" s="1"/>
  <c r="J71" i="12"/>
  <c r="K71" i="12" s="1"/>
  <c r="K132" i="14" l="1"/>
  <c r="J133" i="14" s="1"/>
  <c r="J70" i="14"/>
  <c r="K70" i="14" s="1"/>
  <c r="J72" i="12"/>
  <c r="K72" i="12" s="1"/>
  <c r="K133" i="14" l="1"/>
  <c r="J134" i="14" s="1"/>
  <c r="J71" i="14"/>
  <c r="K71" i="14" s="1"/>
  <c r="J73" i="12"/>
  <c r="K73" i="12" s="1"/>
  <c r="K134" i="14" l="1"/>
  <c r="J135" i="14" s="1"/>
  <c r="J72" i="14"/>
  <c r="K72" i="14" s="1"/>
  <c r="J74" i="12"/>
  <c r="K74" i="12" s="1"/>
  <c r="K135" i="14" l="1"/>
  <c r="J136" i="14" s="1"/>
  <c r="J73" i="14"/>
  <c r="K73" i="14" s="1"/>
  <c r="J75" i="12"/>
  <c r="K75" i="12" s="1"/>
  <c r="K136" i="14" l="1"/>
  <c r="J137" i="14" s="1"/>
  <c r="J74" i="14"/>
  <c r="K74" i="14" s="1"/>
  <c r="J76" i="12"/>
  <c r="K76" i="12" s="1"/>
  <c r="K137" i="14" l="1"/>
  <c r="J138" i="14" s="1"/>
  <c r="J75" i="14"/>
  <c r="K75" i="14" s="1"/>
  <c r="J77" i="12"/>
  <c r="K77" i="12" s="1"/>
  <c r="K138" i="14" l="1"/>
  <c r="J139" i="14" s="1"/>
  <c r="J76" i="14"/>
  <c r="K76" i="14" s="1"/>
  <c r="J78" i="12"/>
  <c r="K78" i="12" s="1"/>
  <c r="K139" i="14" l="1"/>
  <c r="J140" i="14" s="1"/>
  <c r="J77" i="14"/>
  <c r="K77" i="14" s="1"/>
  <c r="J79" i="12"/>
  <c r="K79" i="12" s="1"/>
  <c r="K140" i="14" l="1"/>
  <c r="J141" i="14" s="1"/>
  <c r="J78" i="14"/>
  <c r="K78" i="14" s="1"/>
  <c r="J80" i="12"/>
  <c r="K80" i="12" s="1"/>
  <c r="K141" i="14" l="1"/>
  <c r="J142" i="14" s="1"/>
  <c r="J79" i="14"/>
  <c r="K79" i="14" s="1"/>
  <c r="J81" i="12"/>
  <c r="K81" i="12" s="1"/>
  <c r="K142" i="14" l="1"/>
  <c r="J143" i="14" s="1"/>
  <c r="J80" i="14"/>
  <c r="K80" i="14" s="1"/>
  <c r="J82" i="12"/>
  <c r="K82" i="12" s="1"/>
  <c r="K143" i="14" l="1"/>
  <c r="J144" i="14" s="1"/>
  <c r="J81" i="14"/>
  <c r="K81" i="14" s="1"/>
  <c r="J83" i="12"/>
  <c r="K83" i="12" s="1"/>
  <c r="K144" i="14" l="1"/>
  <c r="J145" i="14" s="1"/>
  <c r="J82" i="14"/>
  <c r="K82" i="14" s="1"/>
  <c r="J84" i="12"/>
  <c r="K84" i="12" s="1"/>
  <c r="K145" i="14" l="1"/>
  <c r="J146" i="14" s="1"/>
  <c r="J83" i="14"/>
  <c r="K83" i="14" s="1"/>
  <c r="J85" i="12"/>
  <c r="K85" i="12" s="1"/>
  <c r="K146" i="14" l="1"/>
  <c r="J147" i="14" s="1"/>
  <c r="J84" i="14"/>
  <c r="K84" i="14" s="1"/>
  <c r="J86" i="12"/>
  <c r="K86" i="12" s="1"/>
  <c r="K147" i="14" l="1"/>
  <c r="J148" i="14" s="1"/>
  <c r="J85" i="14"/>
  <c r="K85" i="14" s="1"/>
  <c r="J87" i="12"/>
  <c r="K87" i="12" s="1"/>
  <c r="K148" i="14" l="1"/>
  <c r="J149" i="14" s="1"/>
  <c r="J86" i="14"/>
  <c r="K86" i="14" s="1"/>
  <c r="J88" i="12"/>
  <c r="K88" i="12" s="1"/>
  <c r="K149" i="14" l="1"/>
  <c r="J150" i="14" s="1"/>
  <c r="J87" i="14"/>
  <c r="K87" i="14" s="1"/>
  <c r="J89" i="12"/>
  <c r="K89" i="12" s="1"/>
  <c r="K150" i="14" l="1"/>
  <c r="J151" i="14" s="1"/>
  <c r="J88" i="14"/>
  <c r="K88" i="14" s="1"/>
  <c r="J89" i="14" s="1"/>
  <c r="K89" i="14" s="1"/>
  <c r="J90" i="12"/>
  <c r="K90" i="12" s="1"/>
  <c r="K151" i="14" l="1"/>
  <c r="J152" i="14" s="1"/>
  <c r="K152" i="14" s="1"/>
  <c r="J91" i="12"/>
  <c r="K91" i="12" s="1"/>
</calcChain>
</file>

<file path=xl/sharedStrings.xml><?xml version="1.0" encoding="utf-8"?>
<sst xmlns="http://schemas.openxmlformats.org/spreadsheetml/2006/main" count="995" uniqueCount="189">
  <si>
    <t>Year</t>
  </si>
  <si>
    <t>Inflation</t>
  </si>
  <si>
    <t>Portfolio 1 Return</t>
  </si>
  <si>
    <t>Portfolio 1 Balance</t>
  </si>
  <si>
    <t>Vanguard Total Stock Mkt Idx Inv (VTSMX)</t>
  </si>
  <si>
    <t>Annual returns for the configured portfolios</t>
  </si>
  <si>
    <t>REWARD</t>
  </si>
  <si>
    <t>RISK</t>
  </si>
  <si>
    <t>start --&gt;</t>
  </si>
  <si>
    <t>&lt; -- yrly withdrawal</t>
  </si>
  <si>
    <t>Interest applied after withdrawal</t>
  </si>
  <si>
    <t>No inflation applied</t>
  </si>
  <si>
    <t>Method 1</t>
  </si>
  <si>
    <t>Method 2</t>
  </si>
  <si>
    <t>CASH</t>
  </si>
  <si>
    <t>VTSAX</t>
  </si>
  <si>
    <t>Drawdown period (2008 - 2012) - Dollars left at end of 5 years</t>
  </si>
  <si>
    <t>Drawup period (2015 - 2019) - Dollars left at end of 5 years</t>
  </si>
  <si>
    <t>Month</t>
  </si>
  <si>
    <t>Vanguard Total Stock Mkt Idx Adm (VTSAX)</t>
  </si>
  <si>
    <t>Monthly returns for the configured portfolios</t>
  </si>
  <si>
    <t>* End-of-month balance includes the monthly contribution/withdrawal</t>
  </si>
  <si>
    <t>lasts &lt; 5 yrs, ~ 4 years</t>
  </si>
  <si>
    <t>$61K</t>
  </si>
  <si>
    <t>Using Average 20 year return for 5 years</t>
  </si>
  <si>
    <t>$40K</t>
  </si>
  <si>
    <t>$0K</t>
  </si>
  <si>
    <t>Average 20 year return assumption</t>
  </si>
  <si>
    <t>Method 3</t>
  </si>
  <si>
    <t>VWITX</t>
  </si>
  <si>
    <t>VWIAX</t>
  </si>
  <si>
    <t>100% Muni Bond</t>
  </si>
  <si>
    <t>100% stocks</t>
  </si>
  <si>
    <t>40% stocks / 60% Bond</t>
  </si>
  <si>
    <t>Method 4</t>
  </si>
  <si>
    <t>Vanguard Interm-Term Tx-Ex Inv (VWITX)</t>
  </si>
  <si>
    <t xml:space="preserve"> </t>
  </si>
  <si>
    <t>$28K</t>
  </si>
  <si>
    <t>$14K</t>
  </si>
  <si>
    <t>$20K</t>
  </si>
  <si>
    <t>Notes:</t>
  </si>
  <si>
    <t>No inflation, No expense impact, No tax impact</t>
  </si>
  <si>
    <t>Vanguard Wellesley Income Inv (VWINX)</t>
  </si>
  <si>
    <t>VWINX=VWIAX</t>
  </si>
  <si>
    <t>$38K</t>
  </si>
  <si>
    <t>$22K</t>
  </si>
  <si>
    <t>$32K</t>
  </si>
  <si>
    <t>Method 5</t>
  </si>
  <si>
    <t>$12K</t>
  </si>
  <si>
    <t>$34K</t>
  </si>
  <si>
    <t>$37K</t>
  </si>
  <si>
    <t>Split 3</t>
  </si>
  <si>
    <t>25% VWITX / 25% VTSAX / 50% VWIAX</t>
  </si>
  <si>
    <t>Method 6</t>
  </si>
  <si>
    <t>25% VWITX / 25% VDIGX / 50% VWIAX</t>
  </si>
  <si>
    <t>Method 7</t>
  </si>
  <si>
    <t>Vanguard Dividend Growth Inv (VDIGX)</t>
  </si>
  <si>
    <t>$35K</t>
  </si>
  <si>
    <t>Lowe's Companies, Inc. (LOW)</t>
  </si>
  <si>
    <t>Split 3 + divid fund</t>
  </si>
  <si>
    <t>Method 6A</t>
  </si>
  <si>
    <t xml:space="preserve">50% VWITX / 50% VDIGX </t>
  </si>
  <si>
    <t>$10K</t>
  </si>
  <si>
    <t>$33K</t>
  </si>
  <si>
    <t>$16K</t>
  </si>
  <si>
    <t>Vanguard Real Estate Index Investor (VGSIX)</t>
  </si>
  <si>
    <t>$46K</t>
  </si>
  <si>
    <t>20% VWITX / 40% LOW/ 40% VGSIX</t>
  </si>
  <si>
    <t>$71K</t>
  </si>
  <si>
    <t>Split 3 + divid stock + REIT</t>
  </si>
  <si>
    <t>OK if &gt;$10K</t>
  </si>
  <si>
    <t>Max</t>
  </si>
  <si>
    <t>SSR1</t>
  </si>
  <si>
    <t>SSR2</t>
  </si>
  <si>
    <t>Simple Single Ratio (SSR)</t>
  </si>
  <si>
    <t xml:space="preserve">SSR1 = </t>
  </si>
  <si>
    <t>SSR2=</t>
  </si>
  <si>
    <t>SSR1=</t>
  </si>
  <si>
    <t>INFINITE</t>
  </si>
  <si>
    <t>Cash (CASHX)</t>
  </si>
  <si>
    <t>infinite</t>
  </si>
  <si>
    <t>very small</t>
  </si>
  <si>
    <t>x</t>
  </si>
  <si>
    <t>WANT:</t>
  </si>
  <si>
    <t>WINX / VWIAX</t>
  </si>
  <si>
    <t>80% stocks / 20% Bond</t>
  </si>
  <si>
    <t>Average of drawdown &amp; drawup</t>
  </si>
  <si>
    <t>Initial amount</t>
  </si>
  <si>
    <t>Percentage of initial amount left after $40K/year spend</t>
  </si>
  <si>
    <t>Method 6B</t>
  </si>
  <si>
    <t>Split 2 + divid fund</t>
  </si>
  <si>
    <t>$1K</t>
  </si>
  <si>
    <t>$45K</t>
  </si>
  <si>
    <t>Method 7A</t>
  </si>
  <si>
    <t>30% VWITX  / 70% VDIGX</t>
  </si>
  <si>
    <t>Digital Realty Trust, Inc. (DLR)</t>
  </si>
  <si>
    <t>DLR</t>
  </si>
  <si>
    <t>VGSIX for DLR</t>
  </si>
  <si>
    <t>$101K</t>
  </si>
  <si>
    <t>$127K</t>
  </si>
  <si>
    <t>$97K</t>
  </si>
  <si>
    <t>20% VWITX / 80% DLR</t>
  </si>
  <si>
    <t>VWIAX/VWINX</t>
  </si>
  <si>
    <t>VWINX</t>
  </si>
  <si>
    <t>Rate of Return reduced by Taxes*</t>
  </si>
  <si>
    <t>1 Yr</t>
  </si>
  <si>
    <t>3 Yrs</t>
  </si>
  <si>
    <t>5 Yrs</t>
  </si>
  <si>
    <t>10 Yrs</t>
  </si>
  <si>
    <t>Life</t>
  </si>
  <si>
    <t>40% stock / 60% bond</t>
  </si>
  <si>
    <t>Before Taxes</t>
  </si>
  <si>
    <t>100% stock</t>
  </si>
  <si>
    <t>Vanguard Wellesley® Income Fund Investor Shares</t>
  </si>
  <si>
    <t>VWIUX</t>
  </si>
  <si>
    <t>100% tax exempt bond</t>
  </si>
  <si>
    <t>BBgBarc Credit A+ TR</t>
  </si>
  <si>
    <t>--</t>
  </si>
  <si>
    <t>VDIGX</t>
  </si>
  <si>
    <t>100% dividend stock</t>
  </si>
  <si>
    <t>Allocation--30% to 50% Equity</t>
  </si>
  <si>
    <t>VGSLX</t>
  </si>
  <si>
    <t>VGSIX</t>
  </si>
  <si>
    <t>100% REIT</t>
  </si>
  <si>
    <t>After Taxes on Distributions</t>
  </si>
  <si>
    <t>After taxes on distributions and sale of fund shares</t>
  </si>
  <si>
    <t>For stocks used simple 20% long term capital gains</t>
  </si>
  <si>
    <t>Vanguard Total Stock Market Index Fund Admiral Shares</t>
  </si>
  <si>
    <t>CRSP US Total Mkt Index</t>
  </si>
  <si>
    <t>Vanguard Spliced Total Stock Market Index</t>
  </si>
  <si>
    <t>Large Blend</t>
  </si>
  <si>
    <t>Vanguard Intermediate-Term Tax-Exempt Fund Investor Shares</t>
  </si>
  <si>
    <t>Muni National Interm</t>
  </si>
  <si>
    <t>Vanguard Dividend Growth Fund Investor Shares</t>
  </si>
  <si>
    <t>Russell 1000</t>
  </si>
  <si>
    <t>Vanguard Real Estate Index Fund Admiral Shares</t>
  </si>
  <si>
    <t>MSCI US REIT (G)</t>
  </si>
  <si>
    <t>Real Estate</t>
  </si>
  <si>
    <t>after tax</t>
  </si>
  <si>
    <t>SSR3=</t>
  </si>
  <si>
    <t>TAX reduction on gains</t>
  </si>
  <si>
    <t>start</t>
  </si>
  <si>
    <t>withdraw/m</t>
  </si>
  <si>
    <t>off by:</t>
  </si>
  <si>
    <t>E/R</t>
  </si>
  <si>
    <t xml:space="preserve">AVG 20 yr return reduced </t>
  </si>
  <si>
    <t>From Before Tax</t>
  </si>
  <si>
    <t>To: After Tax</t>
  </si>
  <si>
    <t>Before tax</t>
  </si>
  <si>
    <t>After tax</t>
  </si>
  <si>
    <t>(set to zero as check)</t>
  </si>
  <si>
    <t>lasts &lt; 5 yrs, ~ 3.5 years</t>
  </si>
  <si>
    <t>$23K</t>
  </si>
  <si>
    <t>$24K</t>
  </si>
  <si>
    <t>$19K</t>
  </si>
  <si>
    <t>ok</t>
  </si>
  <si>
    <t xml:space="preserve"> w tax</t>
  </si>
  <si>
    <t>lasts &lt; 5 yrs, ~ 4.9 years</t>
  </si>
  <si>
    <t>lasts &lt; 5 yrs, ~ 4.7 years</t>
  </si>
  <si>
    <t>$7K</t>
  </si>
  <si>
    <t>REM:  Return does not get reduced by tax for a loss at sale</t>
  </si>
  <si>
    <t>N/A</t>
  </si>
  <si>
    <t>last &lt; 5 yrs</t>
  </si>
  <si>
    <t>STOCK</t>
  </si>
  <si>
    <t>100% dividend stock fund</t>
  </si>
  <si>
    <t>actual stock LOW</t>
  </si>
  <si>
    <t>actual stock DLR</t>
  </si>
  <si>
    <t>$53K</t>
  </si>
  <si>
    <t>check</t>
  </si>
  <si>
    <t>$15K</t>
  </si>
  <si>
    <t>lasts &lt; 5 yrs,  
 ~ 4.5years</t>
  </si>
  <si>
    <t>$65K</t>
  </si>
  <si>
    <t>$70K</t>
  </si>
  <si>
    <t>Method 7B</t>
  </si>
  <si>
    <t>Split 2 + muni + REIT (DLR)</t>
  </si>
  <si>
    <t>Split 2 + muni + REIT (VGSIX)</t>
  </si>
  <si>
    <t>values only</t>
  </si>
  <si>
    <t>linked back to rev2</t>
  </si>
  <si>
    <t>$44K</t>
  </si>
  <si>
    <t>50% VWITX / 50% VGTIX</t>
  </si>
  <si>
    <t xml:space="preserve">Split 2 + divid fund </t>
  </si>
  <si>
    <t>$13K</t>
  </si>
  <si>
    <t>lasts &lt; 5 yrs,  
 ~ 4.9years</t>
  </si>
  <si>
    <t>after tax est</t>
  </si>
  <si>
    <t>SSR4=</t>
  </si>
  <si>
    <t>Simple Single Ratio (SSR) after tax</t>
  </si>
  <si>
    <t>No inflation, No expense impact, with tax &amp; sales impact</t>
  </si>
  <si>
    <t>*Fidelity/Vanguard sites:  Highest marginal tax rate, no state taxes included and "After taxes on distributions and sale of fund shares - 5yrs"</t>
  </si>
  <si>
    <t>sorted values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</si>
</sst>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0.0%"/>
    <numFmt numFmtId="165" formatCode="0.0"/>
    <numFmt numFmtId="174" formatCode="0.00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 tint="-0.499984740745262"/>
      <name val="Calibri"/>
      <family val="2"/>
      <scheme val="minor"/>
    </font>
    <font>
      <sz val="14"/>
      <color rgb="FF0070C0"/>
      <name val="Calibri"/>
      <family val="2"/>
      <scheme val="minor"/>
    </font>
    <font>
      <sz val="16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4"/>
      <color rgb="FFFF9966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9">
    <xf numFmtId="0" fontId="0" fillId="0" borderId="0" xfId="0"/>
    <xf numFmtId="10" fontId="0" fillId="0" borderId="0" xfId="0" applyNumberFormat="1"/>
    <xf numFmtId="164" fontId="0" fillId="0" borderId="0" xfId="0" applyNumberFormat="1"/>
    <xf numFmtId="6" fontId="0" fillId="0" borderId="0" xfId="0" applyNumberFormat="1"/>
    <xf numFmtId="9" fontId="0" fillId="0" borderId="0" xfId="0" applyNumberFormat="1"/>
    <xf numFmtId="9" fontId="0" fillId="0" borderId="0" xfId="1" applyFont="1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/>
    <xf numFmtId="10" fontId="0" fillId="2" borderId="0" xfId="0" applyNumberFormat="1" applyFill="1"/>
    <xf numFmtId="8" fontId="0" fillId="2" borderId="0" xfId="0" applyNumberFormat="1" applyFill="1"/>
    <xf numFmtId="0" fontId="0" fillId="0" borderId="0" xfId="0" applyAlignment="1">
      <alignment horizontal="center" vertical="center"/>
    </xf>
    <xf numFmtId="6" fontId="0" fillId="2" borderId="0" xfId="0" applyNumberFormat="1" applyFill="1"/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Fill="1"/>
    <xf numFmtId="10" fontId="0" fillId="0" borderId="0" xfId="0" applyNumberFormat="1" applyFill="1"/>
    <xf numFmtId="8" fontId="0" fillId="0" borderId="0" xfId="0" applyNumberFormat="1" applyFill="1"/>
    <xf numFmtId="0" fontId="3" fillId="0" borderId="0" xfId="0" applyFont="1"/>
    <xf numFmtId="10" fontId="3" fillId="0" borderId="0" xfId="0" applyNumberFormat="1" applyFont="1"/>
    <xf numFmtId="6" fontId="3" fillId="0" borderId="0" xfId="0" applyNumberFormat="1" applyFont="1"/>
    <xf numFmtId="0" fontId="3" fillId="2" borderId="0" xfId="0" applyFont="1" applyFill="1"/>
    <xf numFmtId="10" fontId="3" fillId="2" borderId="0" xfId="0" applyNumberFormat="1" applyFont="1" applyFill="1"/>
    <xf numFmtId="6" fontId="3" fillId="2" borderId="0" xfId="0" applyNumberFormat="1" applyFont="1" applyFill="1"/>
    <xf numFmtId="6" fontId="0" fillId="0" borderId="0" xfId="0" applyNumberFormat="1" applyFill="1"/>
    <xf numFmtId="0" fontId="3" fillId="0" borderId="0" xfId="0" applyFont="1" applyFill="1"/>
    <xf numFmtId="10" fontId="3" fillId="0" borderId="0" xfId="0" applyNumberFormat="1" applyFont="1" applyFill="1"/>
    <xf numFmtId="6" fontId="3" fillId="0" borderId="0" xfId="0" applyNumberFormat="1" applyFont="1" applyFill="1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2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9" fontId="0" fillId="0" borderId="5" xfId="1" applyFont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3" xfId="0" applyNumberFormat="1" applyBorder="1"/>
    <xf numFmtId="0" fontId="0" fillId="3" borderId="0" xfId="0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9" fontId="5" fillId="3" borderId="9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64" fontId="0" fillId="3" borderId="9" xfId="0" applyNumberFormat="1" applyFill="1" applyBorder="1" applyAlignment="1">
      <alignment horizontal="center" vertical="center" wrapText="1"/>
    </xf>
    <xf numFmtId="9" fontId="0" fillId="3" borderId="8" xfId="0" applyNumberFormat="1" applyFill="1" applyBorder="1" applyAlignment="1">
      <alignment horizontal="center" vertical="center" wrapText="1"/>
    </xf>
    <xf numFmtId="164" fontId="0" fillId="3" borderId="9" xfId="1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164" fontId="10" fillId="3" borderId="9" xfId="0" applyNumberFormat="1" applyFont="1" applyFill="1" applyBorder="1" applyAlignment="1">
      <alignment horizontal="center" vertical="center"/>
    </xf>
    <xf numFmtId="165" fontId="12" fillId="3" borderId="8" xfId="0" applyNumberFormat="1" applyFont="1" applyFill="1" applyBorder="1" applyAlignment="1">
      <alignment horizontal="center" vertical="center" wrapText="1"/>
    </xf>
    <xf numFmtId="165" fontId="12" fillId="3" borderId="8" xfId="0" applyNumberFormat="1" applyFont="1" applyFill="1" applyBorder="1" applyAlignment="1">
      <alignment horizontal="center" vertical="center"/>
    </xf>
    <xf numFmtId="165" fontId="13" fillId="3" borderId="8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165" fontId="15" fillId="3" borderId="8" xfId="0" applyNumberFormat="1" applyFont="1" applyFill="1" applyBorder="1" applyAlignment="1">
      <alignment horizontal="center" vertical="center" wrapText="1"/>
    </xf>
    <xf numFmtId="6" fontId="2" fillId="0" borderId="0" xfId="0" applyNumberFormat="1" applyFont="1"/>
    <xf numFmtId="0" fontId="16" fillId="3" borderId="11" xfId="0" applyFont="1" applyFill="1" applyBorder="1" applyAlignment="1">
      <alignment horizontal="center" vertical="center"/>
    </xf>
    <xf numFmtId="165" fontId="0" fillId="3" borderId="8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9" fontId="18" fillId="3" borderId="9" xfId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165" fontId="13" fillId="3" borderId="11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center" vertical="center"/>
    </xf>
    <xf numFmtId="164" fontId="19" fillId="3" borderId="9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17" fillId="3" borderId="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17" fillId="4" borderId="0" xfId="0" applyFont="1" applyFill="1"/>
    <xf numFmtId="0" fontId="0" fillId="3" borderId="1" xfId="0" applyFill="1" applyBorder="1"/>
    <xf numFmtId="0" fontId="0" fillId="3" borderId="2" xfId="0" applyFill="1" applyBorder="1"/>
    <xf numFmtId="0" fontId="17" fillId="3" borderId="2" xfId="0" applyFont="1" applyFill="1" applyBorder="1"/>
    <xf numFmtId="0" fontId="0" fillId="3" borderId="2" xfId="0" applyFill="1" applyBorder="1" applyAlignment="1">
      <alignment horizontal="center"/>
    </xf>
    <xf numFmtId="0" fontId="0" fillId="3" borderId="3" xfId="0" applyFill="1" applyBorder="1"/>
    <xf numFmtId="0" fontId="0" fillId="3" borderId="10" xfId="0" applyFill="1" applyBorder="1"/>
    <xf numFmtId="0" fontId="0" fillId="3" borderId="11" xfId="0" applyFill="1" applyBorder="1"/>
    <xf numFmtId="0" fontId="17" fillId="0" borderId="0" xfId="0" applyFont="1"/>
    <xf numFmtId="10" fontId="17" fillId="0" borderId="0" xfId="0" applyNumberFormat="1" applyFont="1"/>
    <xf numFmtId="0" fontId="20" fillId="0" borderId="0" xfId="0" applyFont="1"/>
    <xf numFmtId="0" fontId="17" fillId="3" borderId="10" xfId="0" applyFont="1" applyFill="1" applyBorder="1"/>
    <xf numFmtId="0" fontId="5" fillId="3" borderId="10" xfId="0" applyFont="1" applyFill="1" applyBorder="1"/>
    <xf numFmtId="0" fontId="21" fillId="0" borderId="0" xfId="0" applyFont="1"/>
    <xf numFmtId="0" fontId="5" fillId="3" borderId="4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22" fillId="0" borderId="0" xfId="0" applyFont="1"/>
    <xf numFmtId="164" fontId="17" fillId="4" borderId="0" xfId="0" applyNumberFormat="1" applyFont="1" applyFill="1"/>
    <xf numFmtId="10" fontId="0" fillId="5" borderId="0" xfId="0" applyNumberFormat="1" applyFill="1"/>
    <xf numFmtId="1" fontId="0" fillId="2" borderId="0" xfId="0" applyNumberFormat="1" applyFill="1"/>
    <xf numFmtId="9" fontId="2" fillId="0" borderId="0" xfId="1" applyFont="1"/>
    <xf numFmtId="165" fontId="0" fillId="0" borderId="0" xfId="0" applyNumberFormat="1"/>
    <xf numFmtId="10" fontId="0" fillId="0" borderId="0" xfId="1" applyNumberFormat="1" applyFont="1"/>
    <xf numFmtId="0" fontId="0" fillId="5" borderId="1" xfId="0" applyFill="1" applyBorder="1"/>
    <xf numFmtId="0" fontId="0" fillId="5" borderId="2" xfId="0" applyFill="1" applyBorder="1"/>
    <xf numFmtId="164" fontId="0" fillId="5" borderId="2" xfId="0" applyNumberFormat="1" applyFill="1" applyBorder="1"/>
    <xf numFmtId="2" fontId="0" fillId="5" borderId="3" xfId="0" applyNumberFormat="1" applyFill="1" applyBorder="1"/>
    <xf numFmtId="0" fontId="0" fillId="5" borderId="4" xfId="0" applyFill="1" applyBorder="1"/>
    <xf numFmtId="0" fontId="0" fillId="5" borderId="5" xfId="0" applyFill="1" applyBorder="1"/>
    <xf numFmtId="9" fontId="0" fillId="5" borderId="5" xfId="1" applyFont="1" applyFill="1" applyBorder="1"/>
    <xf numFmtId="0" fontId="0" fillId="5" borderId="6" xfId="0" applyFill="1" applyBorder="1"/>
    <xf numFmtId="0" fontId="23" fillId="0" borderId="0" xfId="0" applyFont="1"/>
    <xf numFmtId="0" fontId="24" fillId="0" borderId="0" xfId="0" applyFont="1" applyAlignment="1">
      <alignment wrapText="1"/>
    </xf>
    <xf numFmtId="0" fontId="0" fillId="5" borderId="0" xfId="0" applyFill="1"/>
    <xf numFmtId="1" fontId="0" fillId="5" borderId="0" xfId="0" applyNumberFormat="1" applyFill="1"/>
    <xf numFmtId="9" fontId="0" fillId="5" borderId="0" xfId="0" applyNumberFormat="1" applyFill="1"/>
    <xf numFmtId="164" fontId="0" fillId="5" borderId="0" xfId="0" applyNumberFormat="1" applyFill="1"/>
    <xf numFmtId="164" fontId="0" fillId="0" borderId="0" xfId="0" applyNumberFormat="1" applyFill="1"/>
    <xf numFmtId="164" fontId="17" fillId="3" borderId="9" xfId="0" applyNumberFormat="1" applyFont="1" applyFill="1" applyBorder="1" applyAlignment="1">
      <alignment horizontal="center" vertical="center" wrapText="1"/>
    </xf>
    <xf numFmtId="10" fontId="3" fillId="5" borderId="0" xfId="0" applyNumberFormat="1" applyFont="1" applyFill="1"/>
    <xf numFmtId="164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9" fontId="0" fillId="0" borderId="0" xfId="1" applyFont="1" applyAlignment="1">
      <alignment vertical="center"/>
    </xf>
    <xf numFmtId="1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vertical="center"/>
    </xf>
    <xf numFmtId="2" fontId="0" fillId="0" borderId="3" xfId="0" applyNumberFormat="1" applyBorder="1" applyAlignment="1">
      <alignment vertical="center"/>
    </xf>
    <xf numFmtId="6" fontId="0" fillId="0" borderId="0" xfId="0" applyNumberForma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9" fontId="0" fillId="0" borderId="5" xfId="1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164" fontId="0" fillId="5" borderId="2" xfId="0" applyNumberFormat="1" applyFill="1" applyBorder="1" applyAlignment="1">
      <alignment vertical="center"/>
    </xf>
    <xf numFmtId="2" fontId="0" fillId="5" borderId="3" xfId="0" applyNumberFormat="1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9" fontId="0" fillId="5" borderId="5" xfId="1" applyFont="1" applyFill="1" applyBorder="1" applyAlignment="1">
      <alignment vertical="center"/>
    </xf>
    <xf numFmtId="0" fontId="0" fillId="5" borderId="6" xfId="0" applyFill="1" applyBorder="1" applyAlignment="1">
      <alignment vertical="center"/>
    </xf>
    <xf numFmtId="10" fontId="0" fillId="0" borderId="0" xfId="0" applyNumberFormat="1" applyFill="1" applyAlignment="1">
      <alignment vertical="center"/>
    </xf>
    <xf numFmtId="6" fontId="0" fillId="0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10" fontId="0" fillId="2" borderId="0" xfId="0" applyNumberFormat="1" applyFill="1" applyAlignment="1">
      <alignment vertical="center"/>
    </xf>
    <xf numFmtId="6" fontId="0" fillId="2" borderId="0" xfId="0" applyNumberFormat="1" applyFill="1" applyAlignment="1">
      <alignment vertical="center"/>
    </xf>
    <xf numFmtId="0" fontId="3" fillId="0" borderId="0" xfId="0" applyFont="1" applyAlignment="1">
      <alignment vertical="center"/>
    </xf>
    <xf numFmtId="10" fontId="3" fillId="0" borderId="0" xfId="0" applyNumberFormat="1" applyFont="1" applyAlignment="1">
      <alignment vertical="center"/>
    </xf>
    <xf numFmtId="6" fontId="3" fillId="0" borderId="0" xfId="0" applyNumberFormat="1" applyFont="1" applyAlignment="1">
      <alignment vertical="center"/>
    </xf>
    <xf numFmtId="0" fontId="3" fillId="2" borderId="0" xfId="0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6" fontId="3" fillId="2" borderId="0" xfId="0" applyNumberFormat="1" applyFont="1" applyFill="1" applyAlignment="1">
      <alignment vertical="center"/>
    </xf>
    <xf numFmtId="10" fontId="0" fillId="5" borderId="0" xfId="0" applyNumberFormat="1" applyFill="1" applyAlignment="1">
      <alignment vertical="center"/>
    </xf>
    <xf numFmtId="174" fontId="0" fillId="0" borderId="0" xfId="0" applyNumberFormat="1" applyAlignment="1">
      <alignment vertical="center"/>
    </xf>
    <xf numFmtId="1" fontId="0" fillId="2" borderId="0" xfId="0" applyNumberFormat="1" applyFill="1" applyAlignment="1">
      <alignment vertical="center"/>
    </xf>
    <xf numFmtId="164" fontId="17" fillId="3" borderId="9" xfId="1" applyNumberFormat="1" applyFont="1" applyFill="1" applyBorder="1" applyAlignment="1">
      <alignment horizontal="center" vertical="center" wrapText="1"/>
    </xf>
    <xf numFmtId="8" fontId="0" fillId="0" borderId="0" xfId="0" applyNumberFormat="1" applyFill="1" applyAlignment="1">
      <alignment vertical="center"/>
    </xf>
    <xf numFmtId="0" fontId="3" fillId="0" borderId="0" xfId="0" applyFont="1" applyFill="1" applyAlignment="1">
      <alignment vertical="center"/>
    </xf>
    <xf numFmtId="10" fontId="3" fillId="0" borderId="0" xfId="0" applyNumberFormat="1" applyFont="1" applyFill="1" applyAlignment="1">
      <alignment vertical="center"/>
    </xf>
    <xf numFmtId="6" fontId="3" fillId="0" borderId="0" xfId="0" applyNumberFormat="1" applyFont="1" applyFill="1" applyAlignment="1">
      <alignment vertical="center"/>
    </xf>
    <xf numFmtId="164" fontId="0" fillId="5" borderId="0" xfId="0" applyNumberFormat="1" applyFill="1" applyAlignment="1">
      <alignment vertical="center"/>
    </xf>
    <xf numFmtId="1" fontId="0" fillId="5" borderId="0" xfId="0" applyNumberFormat="1" applyFill="1" applyAlignment="1">
      <alignment vertical="center"/>
    </xf>
    <xf numFmtId="164" fontId="17" fillId="3" borderId="9" xfId="0" applyNumberFormat="1" applyFont="1" applyFill="1" applyBorder="1" applyAlignment="1">
      <alignment horizontal="center" vertical="center"/>
    </xf>
    <xf numFmtId="164" fontId="0" fillId="0" borderId="5" xfId="0" applyNumberFormat="1" applyBorder="1" applyAlignment="1">
      <alignment vertical="center"/>
    </xf>
    <xf numFmtId="9" fontId="0" fillId="0" borderId="0" xfId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10" fontId="0" fillId="0" borderId="0" xfId="1" applyNumberFormat="1" applyFont="1" applyAlignment="1">
      <alignment vertical="center"/>
    </xf>
    <xf numFmtId="0" fontId="25" fillId="3" borderId="3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 wrapText="1"/>
    </xf>
    <xf numFmtId="165" fontId="26" fillId="3" borderId="11" xfId="0" applyNumberFormat="1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/>
    </xf>
    <xf numFmtId="10" fontId="0" fillId="0" borderId="0" xfId="0" applyNumberFormat="1" applyFont="1" applyAlignment="1">
      <alignment vertical="center"/>
    </xf>
    <xf numFmtId="10" fontId="0" fillId="5" borderId="0" xfId="0" applyNumberFormat="1" applyFont="1" applyFill="1" applyAlignment="1">
      <alignment vertical="center"/>
    </xf>
    <xf numFmtId="10" fontId="0" fillId="0" borderId="0" xfId="0" applyNumberFormat="1" applyFont="1" applyFill="1" applyAlignment="1">
      <alignment vertical="center"/>
    </xf>
    <xf numFmtId="10" fontId="0" fillId="2" borderId="0" xfId="0" applyNumberFormat="1" applyFont="1" applyFill="1" applyAlignment="1">
      <alignment vertical="center"/>
    </xf>
    <xf numFmtId="164" fontId="21" fillId="3" borderId="6" xfId="0" applyNumberFormat="1" applyFont="1" applyFill="1" applyBorder="1" applyAlignment="1">
      <alignment horizontal="center" vertical="center"/>
    </xf>
    <xf numFmtId="164" fontId="0" fillId="5" borderId="5" xfId="1" applyNumberFormat="1" applyFont="1" applyFill="1" applyBorder="1" applyAlignment="1">
      <alignment vertical="center"/>
    </xf>
    <xf numFmtId="0" fontId="14" fillId="3" borderId="8" xfId="0" applyFont="1" applyFill="1" applyBorder="1" applyAlignment="1">
      <alignment horizontal="center" vertical="center" wrapText="1"/>
    </xf>
    <xf numFmtId="10" fontId="3" fillId="0" borderId="0" xfId="0" applyNumberFormat="1" applyFont="1" applyAlignment="1">
      <alignment vertical="center" wrapText="1"/>
    </xf>
    <xf numFmtId="10" fontId="0" fillId="0" borderId="0" xfId="0" applyNumberFormat="1" applyAlignment="1">
      <alignment vertical="center" wrapText="1"/>
    </xf>
    <xf numFmtId="10" fontId="0" fillId="0" borderId="0" xfId="0" applyNumberFormat="1" applyFill="1" applyAlignment="1">
      <alignment vertical="center" wrapText="1"/>
    </xf>
    <xf numFmtId="0" fontId="8" fillId="3" borderId="3" xfId="0" applyFont="1" applyFill="1" applyBorder="1" applyAlignment="1">
      <alignment horizontal="center" vertical="center"/>
    </xf>
    <xf numFmtId="165" fontId="12" fillId="3" borderId="11" xfId="0" applyNumberFormat="1" applyFont="1" applyFill="1" applyBorder="1" applyAlignment="1">
      <alignment horizontal="center" vertical="center"/>
    </xf>
    <xf numFmtId="164" fontId="29" fillId="3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8" fillId="3" borderId="6" xfId="0" applyNumberFormat="1" applyFont="1" applyFill="1" applyBorder="1" applyAlignment="1">
      <alignment horizontal="center" vertical="center"/>
    </xf>
    <xf numFmtId="6" fontId="0" fillId="0" borderId="0" xfId="1" applyNumberFormat="1" applyFont="1" applyAlignment="1">
      <alignment vertical="center"/>
    </xf>
    <xf numFmtId="10" fontId="0" fillId="5" borderId="0" xfId="1" applyNumberFormat="1" applyFont="1" applyFill="1" applyAlignment="1">
      <alignment vertical="center"/>
    </xf>
    <xf numFmtId="1" fontId="0" fillId="0" borderId="0" xfId="1" applyNumberFormat="1" applyFont="1" applyAlignment="1">
      <alignment vertical="center"/>
    </xf>
    <xf numFmtId="1" fontId="0" fillId="0" borderId="0" xfId="1" applyNumberFormat="1" applyFont="1" applyFill="1" applyAlignment="1">
      <alignment vertical="center"/>
    </xf>
    <xf numFmtId="1" fontId="0" fillId="2" borderId="0" xfId="1" applyNumberFormat="1" applyFont="1" applyFill="1" applyAlignment="1">
      <alignment vertical="center"/>
    </xf>
    <xf numFmtId="0" fontId="11" fillId="3" borderId="8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2" fillId="3" borderId="8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 wrapText="1"/>
    </xf>
    <xf numFmtId="9" fontId="31" fillId="3" borderId="9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vertical="center"/>
    </xf>
    <xf numFmtId="0" fontId="0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/>
    </xf>
    <xf numFmtId="0" fontId="0" fillId="3" borderId="0" xfId="0" applyFill="1" applyBorder="1"/>
    <xf numFmtId="9" fontId="8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center"/>
    </xf>
    <xf numFmtId="0" fontId="0" fillId="3" borderId="4" xfId="0" applyFill="1" applyBorder="1"/>
    <xf numFmtId="9" fontId="8" fillId="3" borderId="5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4" fontId="8" fillId="3" borderId="5" xfId="0" applyNumberFormat="1" applyFont="1" applyFill="1" applyBorder="1" applyAlignment="1">
      <alignment horizontal="center"/>
    </xf>
    <xf numFmtId="164" fontId="17" fillId="4" borderId="5" xfId="0" applyNumberFormat="1" applyFont="1" applyFill="1" applyBorder="1"/>
    <xf numFmtId="0" fontId="0" fillId="3" borderId="3" xfId="0" applyFill="1" applyBorder="1" applyAlignment="1">
      <alignment horizontal="center"/>
    </xf>
    <xf numFmtId="10" fontId="0" fillId="3" borderId="0" xfId="0" applyNumberFormat="1" applyFill="1" applyBorder="1"/>
    <xf numFmtId="10" fontId="0" fillId="3" borderId="11" xfId="0" applyNumberFormat="1" applyFill="1" applyBorder="1"/>
    <xf numFmtId="0" fontId="20" fillId="3" borderId="10" xfId="0" applyFont="1" applyFill="1" applyBorder="1"/>
    <xf numFmtId="0" fontId="21" fillId="3" borderId="10" xfId="0" applyFont="1" applyFill="1" applyBorder="1"/>
    <xf numFmtId="0" fontId="22" fillId="3" borderId="10" xfId="0" applyFont="1" applyFill="1" applyBorder="1"/>
    <xf numFmtId="164" fontId="0" fillId="3" borderId="0" xfId="0" applyNumberFormat="1" applyFill="1" applyBorder="1"/>
    <xf numFmtId="164" fontId="0" fillId="3" borderId="5" xfId="0" applyNumberFormat="1" applyFill="1" applyBorder="1"/>
    <xf numFmtId="0" fontId="17" fillId="4" borderId="1" xfId="0" applyFont="1" applyFill="1" applyBorder="1"/>
    <xf numFmtId="0" fontId="17" fillId="0" borderId="0" xfId="0" applyFont="1" applyAlignment="1">
      <alignment horizontal="center" vertical="center" wrapText="1"/>
    </xf>
    <xf numFmtId="0" fontId="0" fillId="0" borderId="1" xfId="0" applyFill="1" applyBorder="1"/>
    <xf numFmtId="0" fontId="0" fillId="0" borderId="2" xfId="0" applyFill="1" applyBorder="1"/>
    <xf numFmtId="164" fontId="0" fillId="0" borderId="2" xfId="0" applyNumberFormat="1" applyFill="1" applyBorder="1"/>
    <xf numFmtId="2" fontId="0" fillId="0" borderId="3" xfId="0" applyNumberFormat="1" applyFill="1" applyBorder="1"/>
    <xf numFmtId="0" fontId="0" fillId="0" borderId="4" xfId="0" applyFill="1" applyBorder="1"/>
    <xf numFmtId="0" fontId="0" fillId="0" borderId="5" xfId="0" applyFill="1" applyBorder="1"/>
    <xf numFmtId="9" fontId="0" fillId="0" borderId="5" xfId="1" applyFont="1" applyFill="1" applyBorder="1"/>
    <xf numFmtId="0" fontId="0" fillId="0" borderId="6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66675</xdr:rowOff>
    </xdr:from>
    <xdr:to>
      <xdr:col>12</xdr:col>
      <xdr:colOff>457200</xdr:colOff>
      <xdr:row>22</xdr:row>
      <xdr:rowOff>57375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321867-ACDC-429E-A4FA-F104FEF356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642" t="21618" r="14118" b="11707"/>
        <a:stretch/>
      </xdr:blipFill>
      <xdr:spPr>
        <a:xfrm>
          <a:off x="0" y="447675"/>
          <a:ext cx="7772400" cy="39245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123826</xdr:rowOff>
    </xdr:from>
    <xdr:to>
      <xdr:col>12</xdr:col>
      <xdr:colOff>409575</xdr:colOff>
      <xdr:row>44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C2B55C-6AC3-47E4-9714-E231D58970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3" t="19013" r="36669" b="38404"/>
        <a:stretch/>
      </xdr:blipFill>
      <xdr:spPr>
        <a:xfrm>
          <a:off x="0" y="5010151"/>
          <a:ext cx="7724775" cy="31146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142875</xdr:rowOff>
    </xdr:from>
    <xdr:to>
      <xdr:col>12</xdr:col>
      <xdr:colOff>535015</xdr:colOff>
      <xdr:row>61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D53BE87-B4FD-4B61-8E8C-E577A1FA0E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2445" t="39328" r="13972" b="23037"/>
        <a:stretch/>
      </xdr:blipFill>
      <xdr:spPr>
        <a:xfrm>
          <a:off x="0" y="9029700"/>
          <a:ext cx="7850215" cy="22574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38100</xdr:rowOff>
    </xdr:from>
    <xdr:to>
      <xdr:col>13</xdr:col>
      <xdr:colOff>40002</xdr:colOff>
      <xdr:row>83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37AFF76-0F09-412C-B4B3-B9766EDBC0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1421" t="23050" r="14118" b="35929"/>
        <a:stretch/>
      </xdr:blipFill>
      <xdr:spPr>
        <a:xfrm>
          <a:off x="0" y="12925425"/>
          <a:ext cx="7964802" cy="2466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91</xdr:row>
      <xdr:rowOff>114301</xdr:rowOff>
    </xdr:from>
    <xdr:to>
      <xdr:col>13</xdr:col>
      <xdr:colOff>19050</xdr:colOff>
      <xdr:row>104</xdr:row>
      <xdr:rowOff>76201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F211942-A92F-45D2-AC68-84FC8ADB05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12520" t="27346" r="13945" b="32506"/>
        <a:stretch/>
      </xdr:blipFill>
      <xdr:spPr>
        <a:xfrm>
          <a:off x="0" y="17002126"/>
          <a:ext cx="7943850" cy="2438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/Documents/WEBSITE/DB30_Fin_Independ_CASH_equialents_71620/FI_CASH_EQUIV_71620_re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METHOD1 - CASH"/>
      <sheetName val="METHOD2 - VTSAX"/>
      <sheetName val="METHOD3 - VWITX"/>
      <sheetName val="METHOD4 - VWIAX"/>
      <sheetName val="METHOD5 - Split 3 "/>
      <sheetName val="METHOD6 - Split 3 + divid fund"/>
      <sheetName val="METHOD6A - Split 2 + divid fund"/>
      <sheetName val="METHOD6B - Split 2+divid+rv% "/>
      <sheetName val="METHOD7 - split 3 + divid stock"/>
      <sheetName val="METHOD7A- split 3+divid stock"/>
    </sheetNames>
    <sheetDataSet>
      <sheetData sheetId="0"/>
      <sheetData sheetId="1"/>
      <sheetData sheetId="2">
        <row r="1">
          <cell r="Q1">
            <v>7.9669999999999991E-2</v>
          </cell>
        </row>
        <row r="4">
          <cell r="M4">
            <v>1.0754589632829372</v>
          </cell>
        </row>
      </sheetData>
      <sheetData sheetId="3">
        <row r="1">
          <cell r="Q1">
            <v>4.4400000000000002E-2</v>
          </cell>
        </row>
        <row r="4">
          <cell r="M4">
            <v>14.216346153846152</v>
          </cell>
        </row>
      </sheetData>
      <sheetData sheetId="4">
        <row r="1">
          <cell r="Q1">
            <v>7.647000000000001E-2</v>
          </cell>
        </row>
        <row r="4">
          <cell r="M4">
            <v>3.885670731707318</v>
          </cell>
        </row>
      </sheetData>
      <sheetData sheetId="5">
        <row r="1">
          <cell r="Q1">
            <v>7.3804999999999982E-2</v>
          </cell>
        </row>
        <row r="4">
          <cell r="M4">
            <v>2.5987676056338027</v>
          </cell>
        </row>
      </sheetData>
      <sheetData sheetId="6">
        <row r="4">
          <cell r="C4">
            <v>7.1645E-2</v>
          </cell>
          <cell r="M4">
            <v>3.1423245614035089</v>
          </cell>
        </row>
      </sheetData>
      <sheetData sheetId="7">
        <row r="1">
          <cell r="Q1">
            <v>6.6824999999999996E-2</v>
          </cell>
        </row>
        <row r="4">
          <cell r="M4">
            <v>2.9309210526315788</v>
          </cell>
        </row>
      </sheetData>
      <sheetData sheetId="8">
        <row r="4">
          <cell r="C4">
            <v>7.5809999999999975E-2</v>
          </cell>
          <cell r="M4">
            <v>2.1175977653631279</v>
          </cell>
        </row>
      </sheetData>
      <sheetData sheetId="9">
        <row r="4">
          <cell r="C4">
            <v>0.12422999999999999</v>
          </cell>
        </row>
        <row r="5">
          <cell r="M5">
            <v>3.7418674698795176</v>
          </cell>
        </row>
      </sheetData>
      <sheetData sheetId="10">
        <row r="4">
          <cell r="C4">
            <v>0.1552125</v>
          </cell>
        </row>
        <row r="5">
          <cell r="M5">
            <v>4.0419921875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EE584-1063-4183-9800-AD852BFA7FE9}">
  <dimension ref="B1:S28"/>
  <sheetViews>
    <sheetView zoomScale="70" zoomScaleNormal="70" workbookViewId="0"/>
  </sheetViews>
  <sheetFormatPr defaultRowHeight="15" x14ac:dyDescent="0.25"/>
  <cols>
    <col min="1" max="1" width="3.42578125" style="9" customWidth="1"/>
    <col min="2" max="2" width="31.5703125" style="8" customWidth="1"/>
    <col min="3" max="7" width="13.140625" style="8" customWidth="1"/>
    <col min="8" max="10" width="12.85546875" style="13" customWidth="1"/>
    <col min="11" max="13" width="14.7109375" style="9" customWidth="1"/>
    <col min="14" max="14" width="12.7109375" style="13" customWidth="1"/>
    <col min="15" max="15" width="9.140625" style="9"/>
    <col min="16" max="16" width="28.42578125" style="13" customWidth="1"/>
    <col min="17" max="18" width="16.140625" style="9" customWidth="1"/>
    <col min="19" max="19" width="13" style="9" customWidth="1"/>
    <col min="20" max="16384" width="9.140625" style="9"/>
  </cols>
  <sheetData>
    <row r="1" spans="2:19" ht="15.75" thickBot="1" x14ac:dyDescent="0.3">
      <c r="B1" s="240" t="s">
        <v>177</v>
      </c>
    </row>
    <row r="2" spans="2:19" ht="15.75" x14ac:dyDescent="0.25">
      <c r="B2" s="56"/>
      <c r="C2" s="44" t="s">
        <v>12</v>
      </c>
      <c r="D2" s="44" t="s">
        <v>13</v>
      </c>
      <c r="E2" s="44" t="s">
        <v>28</v>
      </c>
      <c r="F2" s="44" t="s">
        <v>34</v>
      </c>
      <c r="G2" s="44" t="s">
        <v>47</v>
      </c>
      <c r="H2" s="51" t="s">
        <v>53</v>
      </c>
      <c r="I2" s="61" t="s">
        <v>60</v>
      </c>
      <c r="J2" s="61" t="s">
        <v>89</v>
      </c>
      <c r="K2" s="78" t="s">
        <v>55</v>
      </c>
      <c r="L2" s="51" t="s">
        <v>93</v>
      </c>
      <c r="M2" s="195" t="s">
        <v>173</v>
      </c>
      <c r="N2" s="57"/>
      <c r="P2" s="75"/>
      <c r="Q2" s="86" t="str">
        <f>F2</f>
        <v>Method 4</v>
      </c>
      <c r="R2" s="86" t="str">
        <f>L2</f>
        <v>Method 7A</v>
      </c>
      <c r="S2" s="84"/>
    </row>
    <row r="3" spans="2:19" ht="50.25" customHeight="1" x14ac:dyDescent="0.25">
      <c r="B3" s="55"/>
      <c r="C3" s="45" t="s">
        <v>14</v>
      </c>
      <c r="D3" s="45" t="s">
        <v>15</v>
      </c>
      <c r="E3" s="45" t="s">
        <v>29</v>
      </c>
      <c r="F3" s="45" t="s">
        <v>30</v>
      </c>
      <c r="G3" s="45" t="s">
        <v>51</v>
      </c>
      <c r="H3" s="45" t="s">
        <v>59</v>
      </c>
      <c r="I3" s="62" t="s">
        <v>90</v>
      </c>
      <c r="J3" s="62" t="s">
        <v>180</v>
      </c>
      <c r="K3" s="79" t="s">
        <v>69</v>
      </c>
      <c r="L3" s="45" t="s">
        <v>69</v>
      </c>
      <c r="M3" s="45" t="s">
        <v>175</v>
      </c>
      <c r="N3" s="58"/>
      <c r="P3" s="76"/>
      <c r="Q3" s="45" t="s">
        <v>84</v>
      </c>
      <c r="R3" s="45" t="str">
        <f>L4</f>
        <v>20% VWITX / 80% DLR</v>
      </c>
      <c r="S3" s="85"/>
    </row>
    <row r="4" spans="2:19" ht="45" x14ac:dyDescent="0.25">
      <c r="B4" s="55"/>
      <c r="C4" s="45" t="s">
        <v>14</v>
      </c>
      <c r="D4" s="45" t="s">
        <v>32</v>
      </c>
      <c r="E4" s="45" t="s">
        <v>31</v>
      </c>
      <c r="F4" s="49" t="s">
        <v>33</v>
      </c>
      <c r="G4" s="45" t="s">
        <v>52</v>
      </c>
      <c r="H4" s="45" t="s">
        <v>54</v>
      </c>
      <c r="I4" s="62" t="s">
        <v>61</v>
      </c>
      <c r="J4" s="62" t="s">
        <v>94</v>
      </c>
      <c r="K4" s="79" t="s">
        <v>67</v>
      </c>
      <c r="L4" s="45" t="s">
        <v>101</v>
      </c>
      <c r="M4" s="45" t="s">
        <v>179</v>
      </c>
      <c r="N4" s="73" t="s">
        <v>83</v>
      </c>
      <c r="P4" s="76"/>
      <c r="Q4" s="49" t="str">
        <f>F4</f>
        <v>40% stocks / 60% Bond</v>
      </c>
      <c r="R4" s="45" t="s">
        <v>85</v>
      </c>
      <c r="S4" s="85"/>
    </row>
    <row r="5" spans="2:19" ht="21" x14ac:dyDescent="0.25">
      <c r="B5" s="55" t="s">
        <v>74</v>
      </c>
      <c r="C5" s="45" t="s">
        <v>78</v>
      </c>
      <c r="D5" s="64">
        <f>'[1]METHOD2 - VTSAX'!M4</f>
        <v>1.0754589632829372</v>
      </c>
      <c r="E5" s="71">
        <f>'[1]METHOD3 - VWITX'!M4</f>
        <v>14.216346153846152</v>
      </c>
      <c r="F5" s="64">
        <f>'[1]METHOD4 - VWIAX'!M4</f>
        <v>3.885670731707318</v>
      </c>
      <c r="G5" s="64">
        <f>'[1]METHOD5 - Split 3 '!M4</f>
        <v>2.5987676056338027</v>
      </c>
      <c r="H5" s="65">
        <f>'[1]METHOD6 - Split 3 + divid fund'!M4</f>
        <v>3.1423245614035089</v>
      </c>
      <c r="I5" s="66">
        <f>'[1]METHOD6A - Split 2 + divid fund'!M4</f>
        <v>2.9309210526315788</v>
      </c>
      <c r="J5" s="66">
        <f>'[1]METHOD6B - Split 2+divid+rv% '!M4</f>
        <v>2.1175977653631279</v>
      </c>
      <c r="K5" s="80">
        <f>'[1]METHOD7 - split 3 + divid stock'!M5</f>
        <v>3.7418674698795176</v>
      </c>
      <c r="L5" s="65">
        <f>'[1]METHOD7A- split 3+divid stock'!M5</f>
        <v>4.0419921875</v>
      </c>
      <c r="M5" s="196">
        <f>'METHOD7B-split2+VGSIX+VWITX'!N5</f>
        <v>2.3212365591397854</v>
      </c>
      <c r="N5" s="58" t="s">
        <v>71</v>
      </c>
      <c r="O5" s="198" t="s">
        <v>36</v>
      </c>
      <c r="P5" s="55" t="str">
        <f>B5</f>
        <v>Simple Single Ratio (SSR)</v>
      </c>
      <c r="Q5" s="74">
        <f>F5</f>
        <v>3.885670731707318</v>
      </c>
      <c r="R5" s="74">
        <f>L5</f>
        <v>4.0419921875</v>
      </c>
      <c r="S5" s="73" t="s">
        <v>83</v>
      </c>
    </row>
    <row r="6" spans="2:19" ht="45" x14ac:dyDescent="0.25">
      <c r="B6" s="55" t="s">
        <v>16</v>
      </c>
      <c r="C6" s="45" t="s">
        <v>26</v>
      </c>
      <c r="D6" s="47" t="s">
        <v>22</v>
      </c>
      <c r="E6" s="67" t="s">
        <v>37</v>
      </c>
      <c r="F6" s="67" t="s">
        <v>45</v>
      </c>
      <c r="G6" s="67" t="s">
        <v>48</v>
      </c>
      <c r="H6" s="67" t="s">
        <v>64</v>
      </c>
      <c r="I6" s="205" t="s">
        <v>62</v>
      </c>
      <c r="J6" s="206" t="s">
        <v>91</v>
      </c>
      <c r="K6" s="81" t="s">
        <v>48</v>
      </c>
      <c r="L6" s="191" t="s">
        <v>98</v>
      </c>
      <c r="M6" s="67" t="s">
        <v>62</v>
      </c>
      <c r="N6" s="58" t="s">
        <v>70</v>
      </c>
      <c r="P6" s="55" t="str">
        <f>B6</f>
        <v>Drawdown period (2008 - 2012) - Dollars left at end of 5 years</v>
      </c>
      <c r="Q6" s="53" t="str">
        <f>F6</f>
        <v>$22K</v>
      </c>
      <c r="R6" s="53" t="str">
        <f>L6</f>
        <v>$101K</v>
      </c>
      <c r="S6" s="58" t="s">
        <v>71</v>
      </c>
    </row>
    <row r="7" spans="2:19" ht="30" x14ac:dyDescent="0.25">
      <c r="B7" s="55" t="s">
        <v>17</v>
      </c>
      <c r="C7" s="45" t="s">
        <v>26</v>
      </c>
      <c r="D7" s="67" t="s">
        <v>23</v>
      </c>
      <c r="E7" s="67" t="s">
        <v>38</v>
      </c>
      <c r="F7" s="67" t="s">
        <v>46</v>
      </c>
      <c r="G7" s="67" t="s">
        <v>49</v>
      </c>
      <c r="H7" s="68" t="s">
        <v>49</v>
      </c>
      <c r="I7" s="69" t="s">
        <v>57</v>
      </c>
      <c r="J7" s="69" t="s">
        <v>92</v>
      </c>
      <c r="K7" s="81" t="s">
        <v>66</v>
      </c>
      <c r="L7" s="70" t="s">
        <v>99</v>
      </c>
      <c r="M7" s="184" t="s">
        <v>45</v>
      </c>
      <c r="N7" s="58" t="s">
        <v>71</v>
      </c>
      <c r="P7" s="55" t="str">
        <f>B7</f>
        <v>Drawup period (2015 - 2019) - Dollars left at end of 5 years</v>
      </c>
      <c r="Q7" s="53" t="str">
        <f>F7</f>
        <v>$32K</v>
      </c>
      <c r="R7" s="53" t="str">
        <f>L7</f>
        <v>$127K</v>
      </c>
      <c r="S7" s="58" t="s">
        <v>70</v>
      </c>
    </row>
    <row r="8" spans="2:19" ht="30" x14ac:dyDescent="0.25">
      <c r="B8" s="55" t="s">
        <v>24</v>
      </c>
      <c r="C8" s="45" t="s">
        <v>26</v>
      </c>
      <c r="D8" s="67" t="s">
        <v>25</v>
      </c>
      <c r="E8" s="67" t="s">
        <v>39</v>
      </c>
      <c r="F8" s="67" t="s">
        <v>44</v>
      </c>
      <c r="G8" s="67" t="s">
        <v>50</v>
      </c>
      <c r="H8" s="68" t="s">
        <v>57</v>
      </c>
      <c r="I8" s="69" t="s">
        <v>63</v>
      </c>
      <c r="J8" s="69" t="s">
        <v>44</v>
      </c>
      <c r="K8" s="81" t="s">
        <v>68</v>
      </c>
      <c r="L8" s="70" t="s">
        <v>100</v>
      </c>
      <c r="M8" s="184" t="s">
        <v>178</v>
      </c>
      <c r="N8" s="58" t="s">
        <v>71</v>
      </c>
      <c r="P8" s="55" t="s">
        <v>86</v>
      </c>
      <c r="Q8" s="53">
        <f>AVERAGE(22,32)</f>
        <v>27</v>
      </c>
      <c r="R8" s="53">
        <f>AVERAGE(101,127)</f>
        <v>114</v>
      </c>
      <c r="S8" s="58" t="s">
        <v>71</v>
      </c>
    </row>
    <row r="9" spans="2:19" ht="30.75" thickBot="1" x14ac:dyDescent="0.3">
      <c r="B9" s="59" t="s">
        <v>27</v>
      </c>
      <c r="C9" s="46" t="s">
        <v>81</v>
      </c>
      <c r="D9" s="48">
        <f>'[1]METHOD2 - VTSAX'!Q1</f>
        <v>7.9669999999999991E-2</v>
      </c>
      <c r="E9" s="48">
        <f>'[1]METHOD3 - VWITX'!Q1</f>
        <v>4.4400000000000002E-2</v>
      </c>
      <c r="F9" s="48">
        <f>'[1]METHOD4 - VWIAX'!Q1</f>
        <v>7.647000000000001E-2</v>
      </c>
      <c r="G9" s="50">
        <f>'[1]METHOD5 - Split 3 '!Q1</f>
        <v>7.3804999999999982E-2</v>
      </c>
      <c r="H9" s="54">
        <f>'[1]METHOD6 - Split 3 + divid fund'!C4</f>
        <v>7.1645E-2</v>
      </c>
      <c r="I9" s="63">
        <f>'[1]METHOD6A - Split 2 + divid fund'!Q1</f>
        <v>6.6824999999999996E-2</v>
      </c>
      <c r="J9" s="63">
        <f>'[1]METHOD6B - Split 2+divid+rv% '!C4</f>
        <v>7.5809999999999975E-2</v>
      </c>
      <c r="K9" s="82">
        <f>'[1]METHOD7 - split 3 + divid stock'!C4</f>
        <v>0.12422999999999999</v>
      </c>
      <c r="L9" s="83">
        <f>'[1]METHOD7A- split 3+divid stock'!C4</f>
        <v>0.1552125</v>
      </c>
      <c r="M9" s="199">
        <f>'METHOD7B-split2+VGSIX+VWITX'!C4</f>
        <v>8.635000000000001E-2</v>
      </c>
      <c r="N9" s="60" t="s">
        <v>71</v>
      </c>
      <c r="P9" s="76" t="s">
        <v>87</v>
      </c>
      <c r="Q9" s="53">
        <v>200</v>
      </c>
      <c r="R9" s="53">
        <v>200</v>
      </c>
      <c r="S9" s="58" t="s">
        <v>71</v>
      </c>
    </row>
    <row r="10" spans="2:19" ht="30.75" thickBot="1" x14ac:dyDescent="0.3">
      <c r="B10" s="15"/>
      <c r="C10" s="15"/>
      <c r="D10" s="15"/>
      <c r="E10" s="15"/>
      <c r="F10" s="15"/>
      <c r="G10" s="15"/>
      <c r="H10" s="16"/>
      <c r="I10" s="16"/>
      <c r="J10" s="16"/>
      <c r="K10" s="17"/>
      <c r="L10" s="17"/>
      <c r="M10" s="17"/>
      <c r="N10" s="16"/>
      <c r="P10" s="59" t="s">
        <v>88</v>
      </c>
      <c r="Q10" s="77">
        <f>Q8/Q9</f>
        <v>0.13500000000000001</v>
      </c>
      <c r="R10" s="77">
        <f>R8/R9</f>
        <v>0.56999999999999995</v>
      </c>
      <c r="S10" s="60" t="s">
        <v>71</v>
      </c>
    </row>
    <row r="11" spans="2:19" x14ac:dyDescent="0.25">
      <c r="B11" s="43" t="s">
        <v>40</v>
      </c>
      <c r="C11" s="15"/>
      <c r="D11" s="15"/>
      <c r="E11" s="15"/>
      <c r="F11" s="15"/>
      <c r="G11" s="15"/>
      <c r="H11" s="16"/>
      <c r="I11" s="16"/>
      <c r="J11" s="16"/>
      <c r="K11" s="17"/>
      <c r="L11" s="17"/>
      <c r="M11" s="17"/>
      <c r="N11" s="16"/>
    </row>
    <row r="12" spans="2:19" x14ac:dyDescent="0.25">
      <c r="B12" s="42" t="s">
        <v>41</v>
      </c>
      <c r="C12" s="15"/>
      <c r="D12" s="15"/>
      <c r="E12" s="15"/>
      <c r="F12" s="15"/>
      <c r="G12" s="15"/>
      <c r="H12" s="16"/>
      <c r="I12" s="16"/>
      <c r="J12" s="16"/>
      <c r="K12" s="17"/>
      <c r="L12" s="17"/>
      <c r="M12" s="17"/>
      <c r="N12" s="16"/>
    </row>
    <row r="16" spans="2:19" x14ac:dyDescent="0.25">
      <c r="B16" s="240" t="s">
        <v>176</v>
      </c>
    </row>
    <row r="17" spans="2:19" ht="15.75" thickBot="1" x14ac:dyDescent="0.3">
      <c r="B17" s="8" t="s">
        <v>36</v>
      </c>
    </row>
    <row r="18" spans="2:19" ht="15.75" x14ac:dyDescent="0.25">
      <c r="B18" s="56"/>
      <c r="C18" s="44" t="s">
        <v>12</v>
      </c>
      <c r="D18" s="44" t="s">
        <v>13</v>
      </c>
      <c r="E18" s="44" t="s">
        <v>28</v>
      </c>
      <c r="F18" s="44" t="s">
        <v>34</v>
      </c>
      <c r="G18" s="44" t="s">
        <v>47</v>
      </c>
      <c r="H18" s="51" t="s">
        <v>53</v>
      </c>
      <c r="I18" s="61" t="s">
        <v>60</v>
      </c>
      <c r="J18" s="61" t="s">
        <v>89</v>
      </c>
      <c r="K18" s="78" t="s">
        <v>55</v>
      </c>
      <c r="L18" s="51" t="s">
        <v>93</v>
      </c>
      <c r="M18" s="195" t="s">
        <v>173</v>
      </c>
      <c r="N18" s="57"/>
      <c r="P18" s="75"/>
      <c r="Q18" s="86" t="s">
        <v>34</v>
      </c>
      <c r="R18" s="86" t="s">
        <v>93</v>
      </c>
      <c r="S18" s="84"/>
    </row>
    <row r="19" spans="2:19" ht="30" x14ac:dyDescent="0.25">
      <c r="B19" s="55"/>
      <c r="C19" s="45" t="s">
        <v>14</v>
      </c>
      <c r="D19" s="45" t="s">
        <v>15</v>
      </c>
      <c r="E19" s="45" t="s">
        <v>29</v>
      </c>
      <c r="F19" s="45" t="s">
        <v>30</v>
      </c>
      <c r="G19" s="45" t="s">
        <v>51</v>
      </c>
      <c r="H19" s="45" t="s">
        <v>59</v>
      </c>
      <c r="I19" s="62" t="s">
        <v>90</v>
      </c>
      <c r="J19" s="62" t="s">
        <v>180</v>
      </c>
      <c r="K19" s="79" t="s">
        <v>69</v>
      </c>
      <c r="L19" s="45" t="s">
        <v>69</v>
      </c>
      <c r="M19" s="45" t="s">
        <v>175</v>
      </c>
      <c r="N19" s="58"/>
      <c r="P19" s="76"/>
      <c r="Q19" s="45" t="s">
        <v>84</v>
      </c>
      <c r="R19" s="45" t="s">
        <v>101</v>
      </c>
      <c r="S19" s="85"/>
    </row>
    <row r="20" spans="2:19" ht="45" x14ac:dyDescent="0.25">
      <c r="B20" s="55"/>
      <c r="C20" s="45" t="s">
        <v>14</v>
      </c>
      <c r="D20" s="45" t="s">
        <v>32</v>
      </c>
      <c r="E20" s="45" t="s">
        <v>31</v>
      </c>
      <c r="F20" s="49" t="s">
        <v>33</v>
      </c>
      <c r="G20" s="45" t="s">
        <v>52</v>
      </c>
      <c r="H20" s="45" t="s">
        <v>54</v>
      </c>
      <c r="I20" s="62" t="s">
        <v>61</v>
      </c>
      <c r="J20" s="62" t="s">
        <v>94</v>
      </c>
      <c r="K20" s="79" t="s">
        <v>67</v>
      </c>
      <c r="L20" s="45" t="s">
        <v>101</v>
      </c>
      <c r="M20" s="45" t="s">
        <v>179</v>
      </c>
      <c r="N20" s="73" t="s">
        <v>83</v>
      </c>
      <c r="P20" s="76"/>
      <c r="Q20" s="49" t="s">
        <v>33</v>
      </c>
      <c r="R20" s="45" t="s">
        <v>85</v>
      </c>
      <c r="S20" s="85"/>
    </row>
    <row r="21" spans="2:19" ht="21" x14ac:dyDescent="0.25">
      <c r="B21" s="55" t="s">
        <v>74</v>
      </c>
      <c r="C21" s="45" t="s">
        <v>78</v>
      </c>
      <c r="D21" s="64">
        <v>1.0754589632829372</v>
      </c>
      <c r="E21" s="71">
        <v>14.216346153846152</v>
      </c>
      <c r="F21" s="64">
        <v>3.885670731707318</v>
      </c>
      <c r="G21" s="64">
        <v>2.5987676056338027</v>
      </c>
      <c r="H21" s="65">
        <v>3.1423245614035089</v>
      </c>
      <c r="I21" s="66">
        <v>2.9309210526315788</v>
      </c>
      <c r="J21" s="66">
        <v>2.1175977653631279</v>
      </c>
      <c r="K21" s="80">
        <v>3.7418674698795176</v>
      </c>
      <c r="L21" s="65">
        <v>4.0419921875</v>
      </c>
      <c r="M21" s="196">
        <v>2.3212365591397854</v>
      </c>
      <c r="N21" s="58" t="s">
        <v>71</v>
      </c>
      <c r="O21" s="198" t="s">
        <v>36</v>
      </c>
      <c r="P21" s="55" t="s">
        <v>74</v>
      </c>
      <c r="Q21" s="74">
        <v>3.885670731707318</v>
      </c>
      <c r="R21" s="74">
        <v>4.0419921875</v>
      </c>
      <c r="S21" s="73" t="s">
        <v>83</v>
      </c>
    </row>
    <row r="22" spans="2:19" ht="45" x14ac:dyDescent="0.25">
      <c r="B22" s="55" t="s">
        <v>16</v>
      </c>
      <c r="C22" s="45" t="s">
        <v>26</v>
      </c>
      <c r="D22" s="47" t="s">
        <v>22</v>
      </c>
      <c r="E22" s="67" t="s">
        <v>37</v>
      </c>
      <c r="F22" s="67" t="s">
        <v>45</v>
      </c>
      <c r="G22" s="67" t="s">
        <v>48</v>
      </c>
      <c r="H22" s="67" t="s">
        <v>64</v>
      </c>
      <c r="I22" s="205" t="s">
        <v>62</v>
      </c>
      <c r="J22" s="206" t="s">
        <v>91</v>
      </c>
      <c r="K22" s="81" t="s">
        <v>48</v>
      </c>
      <c r="L22" s="191" t="s">
        <v>98</v>
      </c>
      <c r="M22" s="67" t="s">
        <v>62</v>
      </c>
      <c r="N22" s="58" t="s">
        <v>70</v>
      </c>
      <c r="P22" s="55" t="s">
        <v>16</v>
      </c>
      <c r="Q22" s="53" t="s">
        <v>45</v>
      </c>
      <c r="R22" s="53" t="s">
        <v>98</v>
      </c>
      <c r="S22" s="58" t="s">
        <v>71</v>
      </c>
    </row>
    <row r="23" spans="2:19" ht="30" x14ac:dyDescent="0.25">
      <c r="B23" s="55" t="s">
        <v>17</v>
      </c>
      <c r="C23" s="45" t="s">
        <v>26</v>
      </c>
      <c r="D23" s="67" t="s">
        <v>23</v>
      </c>
      <c r="E23" s="67" t="s">
        <v>38</v>
      </c>
      <c r="F23" s="67" t="s">
        <v>46</v>
      </c>
      <c r="G23" s="67" t="s">
        <v>49</v>
      </c>
      <c r="H23" s="68" t="s">
        <v>49</v>
      </c>
      <c r="I23" s="69" t="s">
        <v>57</v>
      </c>
      <c r="J23" s="69" t="s">
        <v>92</v>
      </c>
      <c r="K23" s="81" t="s">
        <v>66</v>
      </c>
      <c r="L23" s="70" t="s">
        <v>99</v>
      </c>
      <c r="M23" s="184" t="s">
        <v>45</v>
      </c>
      <c r="N23" s="58" t="s">
        <v>71</v>
      </c>
      <c r="P23" s="55" t="s">
        <v>17</v>
      </c>
      <c r="Q23" s="53" t="s">
        <v>46</v>
      </c>
      <c r="R23" s="53" t="s">
        <v>99</v>
      </c>
      <c r="S23" s="58" t="s">
        <v>70</v>
      </c>
    </row>
    <row r="24" spans="2:19" ht="30" x14ac:dyDescent="0.25">
      <c r="B24" s="55" t="s">
        <v>24</v>
      </c>
      <c r="C24" s="45" t="s">
        <v>26</v>
      </c>
      <c r="D24" s="67" t="s">
        <v>25</v>
      </c>
      <c r="E24" s="67" t="s">
        <v>39</v>
      </c>
      <c r="F24" s="67" t="s">
        <v>44</v>
      </c>
      <c r="G24" s="67" t="s">
        <v>50</v>
      </c>
      <c r="H24" s="68" t="s">
        <v>57</v>
      </c>
      <c r="I24" s="69" t="s">
        <v>63</v>
      </c>
      <c r="J24" s="69" t="s">
        <v>44</v>
      </c>
      <c r="K24" s="81" t="s">
        <v>68</v>
      </c>
      <c r="L24" s="70" t="s">
        <v>100</v>
      </c>
      <c r="M24" s="184" t="s">
        <v>178</v>
      </c>
      <c r="N24" s="58" t="s">
        <v>71</v>
      </c>
      <c r="P24" s="55" t="s">
        <v>86</v>
      </c>
      <c r="Q24" s="53">
        <v>27</v>
      </c>
      <c r="R24" s="53">
        <v>114</v>
      </c>
      <c r="S24" s="58" t="s">
        <v>71</v>
      </c>
    </row>
    <row r="25" spans="2:19" ht="30.75" thickBot="1" x14ac:dyDescent="0.3">
      <c r="B25" s="59" t="s">
        <v>27</v>
      </c>
      <c r="C25" s="46" t="s">
        <v>81</v>
      </c>
      <c r="D25" s="48">
        <v>7.9669999999999991E-2</v>
      </c>
      <c r="E25" s="48">
        <v>4.4400000000000002E-2</v>
      </c>
      <c r="F25" s="48">
        <v>7.647000000000001E-2</v>
      </c>
      <c r="G25" s="50">
        <v>7.3804999999999982E-2</v>
      </c>
      <c r="H25" s="54">
        <v>7.1645E-2</v>
      </c>
      <c r="I25" s="63">
        <v>6.6824999999999996E-2</v>
      </c>
      <c r="J25" s="63">
        <v>7.5809999999999975E-2</v>
      </c>
      <c r="K25" s="82">
        <v>0.12422999999999999</v>
      </c>
      <c r="L25" s="83">
        <v>0.1552125</v>
      </c>
      <c r="M25" s="199">
        <v>8.635000000000001E-2</v>
      </c>
      <c r="N25" s="60" t="s">
        <v>71</v>
      </c>
      <c r="P25" s="76" t="s">
        <v>87</v>
      </c>
      <c r="Q25" s="53">
        <v>200</v>
      </c>
      <c r="R25" s="53">
        <v>200</v>
      </c>
      <c r="S25" s="58" t="s">
        <v>71</v>
      </c>
    </row>
    <row r="26" spans="2:19" ht="30.75" thickBot="1" x14ac:dyDescent="0.3">
      <c r="B26" s="15"/>
      <c r="C26" s="15"/>
      <c r="D26" s="15"/>
      <c r="E26" s="15"/>
      <c r="F26" s="15"/>
      <c r="G26" s="15"/>
      <c r="H26" s="16"/>
      <c r="I26" s="16"/>
      <c r="J26" s="16"/>
      <c r="K26" s="17"/>
      <c r="L26" s="17"/>
      <c r="M26" s="17"/>
      <c r="N26" s="16"/>
      <c r="P26" s="59" t="s">
        <v>88</v>
      </c>
      <c r="Q26" s="77">
        <v>0.13500000000000001</v>
      </c>
      <c r="R26" s="77">
        <v>0.56999999999999995</v>
      </c>
      <c r="S26" s="60" t="s">
        <v>71</v>
      </c>
    </row>
    <row r="27" spans="2:19" x14ac:dyDescent="0.25">
      <c r="B27" s="43" t="s">
        <v>40</v>
      </c>
      <c r="C27" s="15"/>
      <c r="D27" s="15"/>
      <c r="E27" s="15"/>
      <c r="F27" s="15"/>
      <c r="G27" s="15"/>
      <c r="H27" s="16"/>
      <c r="I27" s="16"/>
      <c r="J27" s="16"/>
      <c r="K27" s="17"/>
      <c r="L27" s="17"/>
      <c r="M27" s="17"/>
      <c r="N27" s="16"/>
    </row>
    <row r="28" spans="2:19" x14ac:dyDescent="0.25">
      <c r="B28" s="42" t="s">
        <v>41</v>
      </c>
      <c r="C28" s="15"/>
      <c r="D28" s="15"/>
      <c r="E28" s="15"/>
      <c r="F28" s="15"/>
      <c r="G28" s="15"/>
      <c r="H28" s="16"/>
      <c r="I28" s="16"/>
      <c r="J28" s="16"/>
      <c r="K28" s="17"/>
      <c r="L28" s="17"/>
      <c r="M28" s="17"/>
      <c r="N28" s="1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42300-0746-4BAE-AF1A-9825F8992887}">
  <dimension ref="A1:V199"/>
  <sheetViews>
    <sheetView workbookViewId="0"/>
  </sheetViews>
  <sheetFormatPr defaultRowHeight="15" x14ac:dyDescent="0.25"/>
  <cols>
    <col min="1" max="4" width="9.140625" style="9"/>
    <col min="5" max="5" width="18.140625" style="9" bestFit="1" customWidth="1"/>
    <col min="6" max="9" width="9.140625" style="9"/>
    <col min="10" max="10" width="15" style="9" customWidth="1"/>
    <col min="11" max="16384" width="9.140625" style="9"/>
  </cols>
  <sheetData>
    <row r="1" spans="1:22" x14ac:dyDescent="0.25">
      <c r="A1" s="9" t="s">
        <v>36</v>
      </c>
      <c r="K1" s="9" t="s">
        <v>72</v>
      </c>
      <c r="L1" s="9" t="s">
        <v>6</v>
      </c>
      <c r="M1" s="130">
        <f>C4*5</f>
        <v>0.77606249999999999</v>
      </c>
      <c r="N1" s="131">
        <f>M1/M2</f>
        <v>2.2047230113636362</v>
      </c>
      <c r="R1" s="130">
        <f>C4</f>
        <v>0.1552125</v>
      </c>
      <c r="V1" s="130">
        <f>D4</f>
        <v>0.116759</v>
      </c>
    </row>
    <row r="2" spans="1:22" ht="75" x14ac:dyDescent="0.25">
      <c r="A2" s="9" t="s">
        <v>0</v>
      </c>
      <c r="B2" s="9" t="s">
        <v>1</v>
      </c>
      <c r="C2" s="9" t="s">
        <v>2</v>
      </c>
      <c r="E2" s="9" t="s">
        <v>3</v>
      </c>
      <c r="F2" s="132" t="s">
        <v>95</v>
      </c>
      <c r="G2" s="132" t="s">
        <v>35</v>
      </c>
      <c r="H2" s="9" t="s">
        <v>36</v>
      </c>
      <c r="L2" s="9" t="s">
        <v>7</v>
      </c>
      <c r="M2" s="134">
        <v>0.35199999999999998</v>
      </c>
      <c r="P2" s="9" t="s">
        <v>8</v>
      </c>
      <c r="Q2" s="9">
        <v>200000</v>
      </c>
      <c r="R2" s="9">
        <v>40000</v>
      </c>
      <c r="S2" s="9" t="s">
        <v>9</v>
      </c>
      <c r="T2" s="9" t="s">
        <v>8</v>
      </c>
      <c r="U2" s="9">
        <v>200000</v>
      </c>
      <c r="V2" s="9">
        <v>40000</v>
      </c>
    </row>
    <row r="3" spans="1:22" x14ac:dyDescent="0.25">
      <c r="A3" s="9" t="s">
        <v>5</v>
      </c>
      <c r="P3" s="9">
        <v>1</v>
      </c>
      <c r="Q3" s="9">
        <f>Q2 - R2</f>
        <v>160000</v>
      </c>
      <c r="R3" s="135">
        <f>Q3*(1+R1)</f>
        <v>184834</v>
      </c>
      <c r="T3" s="9">
        <v>1</v>
      </c>
      <c r="U3" s="9">
        <f>U2 - V2</f>
        <v>160000</v>
      </c>
      <c r="V3" s="135">
        <f>U3*(1+V1)</f>
        <v>178681.44</v>
      </c>
    </row>
    <row r="4" spans="1:22" ht="15.75" thickBot="1" x14ac:dyDescent="0.3">
      <c r="C4" s="136">
        <f>AVERAGE(C5:C28)</f>
        <v>0.1552125</v>
      </c>
      <c r="D4" s="136">
        <f>AVERAGE(D5:D28)</f>
        <v>0.116759</v>
      </c>
      <c r="F4" s="136">
        <f t="shared" ref="F4:G4" si="0">AVERAGE(F5:F28)</f>
        <v>0.16650416666666668</v>
      </c>
      <c r="G4" s="136">
        <f t="shared" si="0"/>
        <v>6.6854166666666673E-2</v>
      </c>
      <c r="I4" s="130" t="s">
        <v>36</v>
      </c>
      <c r="P4" s="9">
        <v>2</v>
      </c>
      <c r="Q4" s="135">
        <f>R3-R2</f>
        <v>144834</v>
      </c>
      <c r="R4" s="135">
        <f>Q4*(1+R1)</f>
        <v>167314.04722499999</v>
      </c>
      <c r="T4" s="9">
        <v>2</v>
      </c>
      <c r="U4" s="135">
        <f>V3-V2</f>
        <v>138681.44</v>
      </c>
      <c r="V4" s="135">
        <f>U4*(1+V1)</f>
        <v>154873.74625296</v>
      </c>
    </row>
    <row r="5" spans="1:22" x14ac:dyDescent="0.25">
      <c r="A5" s="9">
        <v>2000</v>
      </c>
      <c r="B5" s="136">
        <v>3.39E-2</v>
      </c>
      <c r="C5" s="136">
        <v>0.2293</v>
      </c>
      <c r="D5" s="136">
        <f>0.2*(G5-G5*0.05)+ 0.8*(F5-F5*0.2)</f>
        <v>0.186196</v>
      </c>
      <c r="E5" s="141" t="s">
        <v>36</v>
      </c>
      <c r="F5" s="136">
        <v>0.26350000000000001</v>
      </c>
      <c r="G5" s="136">
        <v>9.2399999999999996E-2</v>
      </c>
      <c r="I5" s="9">
        <v>1</v>
      </c>
      <c r="J5" s="9" t="s">
        <v>97</v>
      </c>
      <c r="K5" s="137" t="s">
        <v>73</v>
      </c>
      <c r="L5" s="138" t="s">
        <v>6</v>
      </c>
      <c r="M5" s="139">
        <f>M1</f>
        <v>0.77606249999999999</v>
      </c>
      <c r="N5" s="140">
        <f>M5/M6</f>
        <v>4.0419921875</v>
      </c>
      <c r="P5" s="9">
        <v>3</v>
      </c>
      <c r="Q5" s="135">
        <f>R4-R2</f>
        <v>127314.04722499999</v>
      </c>
      <c r="R5" s="135">
        <f>Q5*(1+R1)</f>
        <v>147074.7787799103</v>
      </c>
      <c r="T5" s="9">
        <v>3</v>
      </c>
      <c r="U5" s="135">
        <f>V4-V2</f>
        <v>114873.74625296</v>
      </c>
      <c r="V5" s="135">
        <f>U5*(1+V1)</f>
        <v>128286.28999170936</v>
      </c>
    </row>
    <row r="6" spans="1:22" ht="15.75" thickBot="1" x14ac:dyDescent="0.3">
      <c r="A6" s="9">
        <v>2001</v>
      </c>
      <c r="B6" s="136">
        <v>1.55E-2</v>
      </c>
      <c r="C6" s="136">
        <v>0.1089</v>
      </c>
      <c r="D6" s="136">
        <f t="shared" ref="D6:D28" si="1">0.2*(G6-G6*0.05)+ 0.8*(F6-F6*0.2)</f>
        <v>8.8635000000000005E-2</v>
      </c>
      <c r="E6" s="141" t="s">
        <v>36</v>
      </c>
      <c r="F6" s="136">
        <v>0.1235</v>
      </c>
      <c r="G6" s="136">
        <v>5.0500000000000003E-2</v>
      </c>
      <c r="I6" s="9">
        <v>2</v>
      </c>
      <c r="J6" s="9" t="s">
        <v>97</v>
      </c>
      <c r="K6" s="142"/>
      <c r="L6" s="143" t="s">
        <v>7</v>
      </c>
      <c r="M6" s="176">
        <v>0.192</v>
      </c>
      <c r="N6" s="145"/>
      <c r="P6" s="9">
        <v>4</v>
      </c>
      <c r="Q6" s="135">
        <f>R5-R2</f>
        <v>107074.7787799103</v>
      </c>
      <c r="R6" s="135">
        <f>Q6*(1+R1)</f>
        <v>123694.12288128711</v>
      </c>
      <c r="T6" s="9">
        <v>4</v>
      </c>
      <c r="U6" s="135">
        <f>V5-V2</f>
        <v>88286.28999170936</v>
      </c>
      <c r="V6" s="135">
        <f>U6*(1+V1)</f>
        <v>98594.508924851354</v>
      </c>
    </row>
    <row r="7" spans="1:22" ht="15.75" thickBot="1" x14ac:dyDescent="0.3">
      <c r="A7" s="9">
        <v>2002</v>
      </c>
      <c r="B7" s="136">
        <v>2.3800000000000002E-2</v>
      </c>
      <c r="C7" s="136">
        <v>4.5900000000000003E-2</v>
      </c>
      <c r="D7" s="136">
        <f t="shared" si="1"/>
        <v>3.9029000000000001E-2</v>
      </c>
      <c r="E7" s="141" t="s">
        <v>36</v>
      </c>
      <c r="F7" s="136">
        <v>3.7499999999999999E-2</v>
      </c>
      <c r="G7" s="136">
        <v>7.9100000000000004E-2</v>
      </c>
      <c r="I7" s="9">
        <v>3</v>
      </c>
      <c r="J7" s="9" t="s">
        <v>97</v>
      </c>
      <c r="P7" s="9">
        <v>5</v>
      </c>
      <c r="Q7" s="135">
        <f>R6-R2</f>
        <v>83694.122881287112</v>
      </c>
      <c r="R7" s="167">
        <f>Q7*(1+R1)</f>
        <v>96684.49692899888</v>
      </c>
      <c r="T7" s="9">
        <v>5</v>
      </c>
      <c r="U7" s="135">
        <f>V6-V2</f>
        <v>58594.508924851354</v>
      </c>
      <c r="V7" s="167">
        <f>U7*(1+V1)</f>
        <v>65435.945192408079</v>
      </c>
    </row>
    <row r="8" spans="1:22" x14ac:dyDescent="0.25">
      <c r="A8" s="9">
        <v>2003</v>
      </c>
      <c r="B8" s="136">
        <v>1.8800000000000001E-2</v>
      </c>
      <c r="C8" s="136">
        <v>0.29420000000000002</v>
      </c>
      <c r="D8" s="136">
        <f t="shared" si="1"/>
        <v>0.23663400000000004</v>
      </c>
      <c r="E8" s="141" t="s">
        <v>36</v>
      </c>
      <c r="F8" s="136">
        <v>0.35649999999999998</v>
      </c>
      <c r="G8" s="136">
        <v>4.4600000000000001E-2</v>
      </c>
      <c r="I8" s="9">
        <v>4</v>
      </c>
      <c r="J8" s="9" t="s">
        <v>97</v>
      </c>
      <c r="K8" s="146" t="s">
        <v>139</v>
      </c>
      <c r="L8" s="147" t="s">
        <v>6</v>
      </c>
      <c r="M8" s="148">
        <f>D4*5</f>
        <v>0.58379500000000006</v>
      </c>
      <c r="N8" s="149">
        <f>M8/M9</f>
        <v>3.0405989583333337</v>
      </c>
    </row>
    <row r="9" spans="1:22" ht="15.75" thickBot="1" x14ac:dyDescent="0.3">
      <c r="A9" s="9">
        <v>2004</v>
      </c>
      <c r="B9" s="136">
        <v>3.2599999999999997E-2</v>
      </c>
      <c r="C9" s="136">
        <v>0.2525</v>
      </c>
      <c r="D9" s="136">
        <f t="shared" si="1"/>
        <v>0.20300100000000001</v>
      </c>
      <c r="E9" s="141" t="s">
        <v>36</v>
      </c>
      <c r="F9" s="136">
        <v>0.30759999999999998</v>
      </c>
      <c r="G9" s="136">
        <v>3.2300000000000002E-2</v>
      </c>
      <c r="H9" s="136" t="s">
        <v>36</v>
      </c>
      <c r="I9" s="9">
        <v>1</v>
      </c>
      <c r="J9" s="9" t="s">
        <v>96</v>
      </c>
      <c r="K9" s="150"/>
      <c r="L9" s="151" t="s">
        <v>7</v>
      </c>
      <c r="M9" s="152">
        <f>M6</f>
        <v>0.192</v>
      </c>
      <c r="N9" s="153"/>
    </row>
    <row r="10" spans="1:22" x14ac:dyDescent="0.25">
      <c r="A10" s="9">
        <v>2006</v>
      </c>
      <c r="B10" s="136">
        <v>2.5399999999999999E-2</v>
      </c>
      <c r="C10" s="136">
        <v>0.46610000000000001</v>
      </c>
      <c r="D10" s="136">
        <f t="shared" si="1"/>
        <v>0.37424100000000005</v>
      </c>
      <c r="E10" s="141">
        <v>2386</v>
      </c>
      <c r="F10" s="136">
        <v>0.5716</v>
      </c>
      <c r="G10" s="136">
        <v>4.4299999999999999E-2</v>
      </c>
      <c r="H10" s="136" t="s">
        <v>36</v>
      </c>
      <c r="I10" s="9">
        <v>2</v>
      </c>
      <c r="P10" s="9" t="s">
        <v>10</v>
      </c>
      <c r="T10" s="9" t="s">
        <v>10</v>
      </c>
    </row>
    <row r="11" spans="1:22" x14ac:dyDescent="0.25">
      <c r="A11" s="9">
        <v>2007</v>
      </c>
      <c r="B11" s="136">
        <v>4.0800000000000003E-2</v>
      </c>
      <c r="C11" s="136">
        <v>0.13120000000000001</v>
      </c>
      <c r="D11" s="136">
        <f t="shared" si="1"/>
        <v>0.10597300000000001</v>
      </c>
      <c r="E11" s="141">
        <v>2699</v>
      </c>
      <c r="F11" s="136">
        <v>0.15540000000000001</v>
      </c>
      <c r="G11" s="136">
        <v>3.4299999999999997E-2</v>
      </c>
      <c r="H11" s="136" t="s">
        <v>36</v>
      </c>
      <c r="I11" s="9">
        <v>3</v>
      </c>
      <c r="P11" s="9" t="s">
        <v>11</v>
      </c>
      <c r="T11" s="9" t="s">
        <v>11</v>
      </c>
    </row>
    <row r="12" spans="1:22" x14ac:dyDescent="0.25">
      <c r="A12" s="9">
        <v>2008</v>
      </c>
      <c r="B12" s="136">
        <v>8.9999999999999998E-4</v>
      </c>
      <c r="C12" s="136">
        <v>-9.0300000000000005E-2</v>
      </c>
      <c r="D12" s="136">
        <f>0.2*(G12)+ 0.8*(F12)</f>
        <v>-9.0280000000000013E-2</v>
      </c>
      <c r="E12" s="141">
        <v>2456</v>
      </c>
      <c r="F12" s="165">
        <v>-0.1125</v>
      </c>
      <c r="G12" s="165">
        <v>-1.4E-3</v>
      </c>
      <c r="H12" s="136" t="s">
        <v>36</v>
      </c>
      <c r="I12" s="9">
        <v>4</v>
      </c>
    </row>
    <row r="13" spans="1:22" x14ac:dyDescent="0.25">
      <c r="A13" s="9">
        <v>2009</v>
      </c>
      <c r="B13" s="136">
        <v>2.7199999999999998E-2</v>
      </c>
      <c r="C13" s="136">
        <v>0.49080000000000001</v>
      </c>
      <c r="D13" s="136">
        <f t="shared" si="1"/>
        <v>0.39567399999999997</v>
      </c>
      <c r="E13" s="141">
        <v>3661</v>
      </c>
      <c r="F13" s="136">
        <v>0.58789999999999998</v>
      </c>
      <c r="G13" s="136">
        <v>0.1022</v>
      </c>
      <c r="H13" s="136" t="s">
        <v>36</v>
      </c>
      <c r="I13" s="9">
        <v>5</v>
      </c>
    </row>
    <row r="14" spans="1:22" x14ac:dyDescent="0.25">
      <c r="A14" s="9">
        <v>2010</v>
      </c>
      <c r="B14" s="136">
        <v>1.4999999999999999E-2</v>
      </c>
      <c r="C14" s="136">
        <v>5.33E-2</v>
      </c>
      <c r="D14" s="136">
        <f t="shared" si="1"/>
        <v>4.3215000000000003E-2</v>
      </c>
      <c r="E14" s="141">
        <v>3856</v>
      </c>
      <c r="F14" s="136">
        <v>6.1199999999999997E-2</v>
      </c>
      <c r="G14" s="136">
        <v>2.1299999999999999E-2</v>
      </c>
      <c r="H14" s="136" t="s">
        <v>36</v>
      </c>
      <c r="I14" s="9">
        <v>6</v>
      </c>
    </row>
    <row r="15" spans="1:22" x14ac:dyDescent="0.25">
      <c r="A15" s="9">
        <v>2011</v>
      </c>
      <c r="B15" s="136">
        <v>2.9600000000000001E-2</v>
      </c>
      <c r="C15" s="136">
        <v>0.30230000000000001</v>
      </c>
      <c r="D15" s="136">
        <f>0.2*(G15)+ 0.8*(F15-F15*0.2)</f>
        <v>0.24573600000000001</v>
      </c>
      <c r="E15" s="141">
        <v>5021</v>
      </c>
      <c r="F15" s="136">
        <v>0.35389999999999999</v>
      </c>
      <c r="G15" s="165">
        <v>9.6199999999999994E-2</v>
      </c>
      <c r="H15" s="136" t="s">
        <v>36</v>
      </c>
      <c r="I15" s="9">
        <v>7</v>
      </c>
    </row>
    <row r="16" spans="1:22" x14ac:dyDescent="0.25">
      <c r="A16" s="9">
        <v>2012</v>
      </c>
      <c r="B16" s="136">
        <v>1.7399999999999999E-2</v>
      </c>
      <c r="C16" s="136">
        <v>6.0199999999999997E-2</v>
      </c>
      <c r="D16" s="136">
        <f t="shared" si="1"/>
        <v>4.9869999999999998E-2</v>
      </c>
      <c r="E16" s="141">
        <v>5323</v>
      </c>
      <c r="F16" s="136">
        <v>6.0999999999999999E-2</v>
      </c>
      <c r="G16" s="136">
        <v>5.7000000000000002E-2</v>
      </c>
      <c r="H16" s="136" t="s">
        <v>36</v>
      </c>
      <c r="I16" s="9">
        <v>8</v>
      </c>
    </row>
    <row r="17" spans="1:11" x14ac:dyDescent="0.25">
      <c r="A17" s="9">
        <v>2013</v>
      </c>
      <c r="B17" s="136">
        <v>1.4999999999999999E-2</v>
      </c>
      <c r="C17" s="136">
        <v>-0.19109999999999999</v>
      </c>
      <c r="D17" s="136">
        <f>0.2*(G17)+ 0.8*(F17)</f>
        <v>-0.19104000000000002</v>
      </c>
      <c r="E17" s="141">
        <v>4306</v>
      </c>
      <c r="F17" s="165">
        <v>-0.2349</v>
      </c>
      <c r="G17" s="165">
        <v>-1.5599999999999999E-2</v>
      </c>
      <c r="H17" s="136" t="s">
        <v>36</v>
      </c>
      <c r="I17" s="9">
        <v>9</v>
      </c>
    </row>
    <row r="18" spans="1:11" x14ac:dyDescent="0.25">
      <c r="A18" s="9">
        <v>2014</v>
      </c>
      <c r="B18" s="136">
        <v>7.6E-3</v>
      </c>
      <c r="C18" s="136">
        <v>0.3553</v>
      </c>
      <c r="D18" s="136">
        <f t="shared" si="1"/>
        <v>0.28647899999999998</v>
      </c>
      <c r="E18" s="141">
        <v>5837</v>
      </c>
      <c r="F18" s="136">
        <v>0.42609999999999998</v>
      </c>
      <c r="G18" s="136">
        <v>7.2499999999999995E-2</v>
      </c>
      <c r="H18" s="136" t="s">
        <v>36</v>
      </c>
      <c r="I18" s="9">
        <v>10</v>
      </c>
    </row>
    <row r="19" spans="1:11" x14ac:dyDescent="0.25">
      <c r="A19" s="9">
        <v>2015</v>
      </c>
      <c r="B19" s="136">
        <v>7.3000000000000001E-3</v>
      </c>
      <c r="C19" s="136">
        <v>0.16669999999999999</v>
      </c>
      <c r="D19" s="136">
        <f t="shared" si="1"/>
        <v>0.13420199999999999</v>
      </c>
      <c r="E19" s="141">
        <v>6809</v>
      </c>
      <c r="F19" s="136">
        <v>0.20119999999999999</v>
      </c>
      <c r="G19" s="136">
        <v>2.86E-2</v>
      </c>
      <c r="H19" s="136" t="s">
        <v>36</v>
      </c>
      <c r="I19" s="9">
        <v>11</v>
      </c>
    </row>
    <row r="20" spans="1:11" x14ac:dyDescent="0.25">
      <c r="A20" s="9">
        <v>2016</v>
      </c>
      <c r="B20" s="136">
        <v>2.07E-2</v>
      </c>
      <c r="C20" s="136">
        <v>0.27929999999999999</v>
      </c>
      <c r="D20" s="136">
        <f t="shared" si="1"/>
        <v>0.22351200000000002</v>
      </c>
      <c r="E20" s="141">
        <v>8712</v>
      </c>
      <c r="F20" s="136">
        <v>0.34899999999999998</v>
      </c>
      <c r="G20" s="136">
        <v>8.0000000000000004E-4</v>
      </c>
      <c r="H20" s="136" t="s">
        <v>36</v>
      </c>
      <c r="I20" s="9">
        <v>12</v>
      </c>
    </row>
    <row r="21" spans="1:11" x14ac:dyDescent="0.25">
      <c r="A21" s="9">
        <v>2017</v>
      </c>
      <c r="B21" s="136">
        <v>2.1100000000000001E-2</v>
      </c>
      <c r="C21" s="136">
        <v>0.16719999999999999</v>
      </c>
      <c r="D21" s="136">
        <f t="shared" si="1"/>
        <v>0.13513500000000001</v>
      </c>
      <c r="E21" s="141">
        <v>10168</v>
      </c>
      <c r="F21" s="136">
        <v>0.19769999999999999</v>
      </c>
      <c r="G21" s="136">
        <v>4.53E-2</v>
      </c>
      <c r="H21" s="136" t="s">
        <v>36</v>
      </c>
      <c r="I21" s="9">
        <v>13</v>
      </c>
    </row>
    <row r="22" spans="1:11" x14ac:dyDescent="0.25">
      <c r="A22" s="9">
        <v>2018</v>
      </c>
      <c r="B22" s="136">
        <v>1.9099999999999999E-2</v>
      </c>
      <c r="C22" s="136">
        <v>-2.18E-2</v>
      </c>
      <c r="D22" s="136">
        <f>0.2*(G22-G22*0.05)+ 0.8*(F22)</f>
        <v>-2.1944999999999999E-2</v>
      </c>
      <c r="E22" s="141">
        <v>9947</v>
      </c>
      <c r="F22" s="165">
        <v>-3.04E-2</v>
      </c>
      <c r="G22" s="136">
        <v>1.2500000000000001E-2</v>
      </c>
      <c r="H22" s="136" t="s">
        <v>36</v>
      </c>
      <c r="I22" s="9">
        <v>14</v>
      </c>
    </row>
    <row r="23" spans="1:11" x14ac:dyDescent="0.25">
      <c r="A23" s="9">
        <v>2019</v>
      </c>
      <c r="B23" s="136">
        <v>2.29E-2</v>
      </c>
      <c r="C23" s="136">
        <v>0.14580000000000001</v>
      </c>
      <c r="D23" s="136">
        <f t="shared" si="1"/>
        <v>0.118674</v>
      </c>
      <c r="E23" s="141">
        <v>11397</v>
      </c>
      <c r="F23" s="136">
        <v>0.1653</v>
      </c>
      <c r="G23" s="136">
        <v>6.7799999999999999E-2</v>
      </c>
      <c r="H23" s="136" t="s">
        <v>36</v>
      </c>
      <c r="I23" s="9">
        <v>15</v>
      </c>
    </row>
    <row r="24" spans="1:11" x14ac:dyDescent="0.25">
      <c r="A24" s="9">
        <v>2015</v>
      </c>
      <c r="B24" s="136">
        <v>7.3000000000000001E-3</v>
      </c>
      <c r="C24" s="136">
        <v>6.3200000000000006E-2</v>
      </c>
      <c r="D24" s="136">
        <f t="shared" si="1"/>
        <v>4.1370000000000004E-2</v>
      </c>
      <c r="E24" s="141">
        <v>5836</v>
      </c>
      <c r="F24" s="136">
        <v>2.86E-2</v>
      </c>
      <c r="G24" s="136">
        <v>0.12139999999999999</v>
      </c>
      <c r="H24" s="136" t="s">
        <v>36</v>
      </c>
      <c r="I24" s="9">
        <v>15</v>
      </c>
    </row>
    <row r="25" spans="1:11" x14ac:dyDescent="0.25">
      <c r="A25" s="9">
        <v>2016</v>
      </c>
      <c r="B25" s="136">
        <v>2.07E-2</v>
      </c>
      <c r="C25" s="136">
        <v>1.4E-2</v>
      </c>
      <c r="D25" s="136">
        <f>0.2*(G25)+ 0.8*(F25-F25*0.2)</f>
        <v>-9.2280000000000001E-3</v>
      </c>
      <c r="E25" s="141">
        <v>5918</v>
      </c>
      <c r="F25" s="136">
        <v>8.0000000000000004E-4</v>
      </c>
      <c r="G25" s="165">
        <v>-4.87E-2</v>
      </c>
      <c r="H25" s="136" t="s">
        <v>36</v>
      </c>
      <c r="I25" s="9">
        <v>15</v>
      </c>
    </row>
    <row r="26" spans="1:11" x14ac:dyDescent="0.25">
      <c r="A26" s="9">
        <v>2017</v>
      </c>
      <c r="B26" s="136">
        <v>2.1100000000000001E-2</v>
      </c>
      <c r="C26" s="136">
        <v>0.16139999999999999</v>
      </c>
      <c r="D26" s="136">
        <f t="shared" si="1"/>
        <v>9.2167000000000013E-2</v>
      </c>
      <c r="E26" s="141">
        <v>6873</v>
      </c>
      <c r="F26" s="136">
        <v>4.53E-2</v>
      </c>
      <c r="G26" s="136">
        <v>0.33250000000000002</v>
      </c>
      <c r="H26" s="136" t="s">
        <v>36</v>
      </c>
      <c r="I26" s="9">
        <v>15</v>
      </c>
    </row>
    <row r="27" spans="1:11" x14ac:dyDescent="0.25">
      <c r="A27" s="9">
        <v>2018</v>
      </c>
      <c r="B27" s="136">
        <v>1.9099999999999999E-2</v>
      </c>
      <c r="C27" s="136">
        <v>-1.7000000000000001E-2</v>
      </c>
      <c r="D27" s="136">
        <f t="shared" si="1"/>
        <v>1.0318000000000001E-2</v>
      </c>
      <c r="E27" s="141">
        <v>6756</v>
      </c>
      <c r="F27" s="136">
        <v>1.2500000000000001E-2</v>
      </c>
      <c r="G27" s="136">
        <v>1.2200000000000001E-2</v>
      </c>
      <c r="H27" s="136" t="s">
        <v>36</v>
      </c>
      <c r="I27" s="9">
        <v>15</v>
      </c>
    </row>
    <row r="28" spans="1:11" x14ac:dyDescent="0.25">
      <c r="A28" s="9">
        <v>2019</v>
      </c>
      <c r="B28" s="136">
        <v>2.29E-2</v>
      </c>
      <c r="C28" s="136">
        <v>0.25769999999999998</v>
      </c>
      <c r="D28" s="136">
        <f t="shared" si="1"/>
        <v>0.104648</v>
      </c>
      <c r="E28" s="141">
        <v>8497</v>
      </c>
      <c r="F28" s="136">
        <v>6.7799999999999999E-2</v>
      </c>
      <c r="G28" s="136">
        <v>0.32240000000000002</v>
      </c>
      <c r="H28" s="136" t="s">
        <v>36</v>
      </c>
      <c r="I28" s="9">
        <v>15</v>
      </c>
    </row>
    <row r="29" spans="1:11" x14ac:dyDescent="0.25">
      <c r="H29" s="87"/>
    </row>
    <row r="30" spans="1:11" ht="75" x14ac:dyDescent="0.25">
      <c r="F30" s="132" t="s">
        <v>95</v>
      </c>
      <c r="G30" s="132" t="s">
        <v>35</v>
      </c>
      <c r="H30" s="87"/>
      <c r="J30">
        <v>200000</v>
      </c>
      <c r="K30"/>
    </row>
    <row r="31" spans="1:11" x14ac:dyDescent="0.25">
      <c r="C31" s="136">
        <f>AVERAGE(C32:C91)</f>
        <v>1.3525000000000001E-2</v>
      </c>
      <c r="D31" s="136">
        <f>AVERAGE(D32:D91)</f>
        <v>1.3775333333333336E-2</v>
      </c>
      <c r="F31" s="136">
        <f>AVERAGE(F32:F91)</f>
        <v>1.6091666666666657E-2</v>
      </c>
      <c r="G31" s="136">
        <f>AVERAGE(G32:G91)</f>
        <v>4.510000000000001E-3</v>
      </c>
      <c r="H31" s="87"/>
      <c r="I31" s="136">
        <f>AVERAGE(I32:I91)</f>
        <v>7.4182547385620882E-3</v>
      </c>
      <c r="J31">
        <v>3333</v>
      </c>
      <c r="K31"/>
    </row>
    <row r="32" spans="1:11" x14ac:dyDescent="0.25">
      <c r="A32" s="9">
        <v>2008</v>
      </c>
      <c r="B32" s="9">
        <v>1</v>
      </c>
      <c r="C32" s="136">
        <v>-5.1200000000000002E-2</v>
      </c>
      <c r="D32" s="136">
        <f>0.2*G32+0.8*F32</f>
        <v>-5.1140000000000005E-2</v>
      </c>
      <c r="E32" s="141">
        <v>186435</v>
      </c>
      <c r="F32" s="165">
        <v>-6.8000000000000005E-2</v>
      </c>
      <c r="G32" s="165">
        <v>1.6299999999999999E-2</v>
      </c>
      <c r="H32" s="154"/>
      <c r="I32" s="136">
        <f>(0.2*(G32))  +  (0.8*(F32))</f>
        <v>-5.1140000000000005E-2</v>
      </c>
      <c r="J32">
        <f>J30-J31</f>
        <v>196667</v>
      </c>
      <c r="K32" s="6">
        <f>J32+(J32*I32)</f>
        <v>186609.44962</v>
      </c>
    </row>
    <row r="33" spans="1:11" x14ac:dyDescent="0.25">
      <c r="A33" s="9">
        <v>2008</v>
      </c>
      <c r="B33" s="9">
        <v>2</v>
      </c>
      <c r="C33" s="136">
        <v>-5.7000000000000002E-3</v>
      </c>
      <c r="D33" s="136">
        <f t="shared" ref="D33:D97" si="2">0.2*G33+0.8*F33</f>
        <v>-5.0400000000000011E-3</v>
      </c>
      <c r="E33" s="141">
        <v>182047</v>
      </c>
      <c r="F33" s="136">
        <v>3.8999999999999998E-3</v>
      </c>
      <c r="G33" s="165">
        <v>-4.0800000000000003E-2</v>
      </c>
      <c r="H33" s="154"/>
      <c r="I33" s="136">
        <f>(0.2*(G33))  +  (0.8*(F33-F33*'TAX reduces gains by'!$Y$21))</f>
        <v>-5.6640000000000006E-3</v>
      </c>
      <c r="J33" s="135">
        <f>K32-$J$31</f>
        <v>183276.44962</v>
      </c>
      <c r="K33" s="6">
        <f t="shared" ref="K33:K36" si="3">J33+(J33*I33)</f>
        <v>182238.37180935231</v>
      </c>
    </row>
    <row r="34" spans="1:11" x14ac:dyDescent="0.25">
      <c r="A34" s="9">
        <v>2008</v>
      </c>
      <c r="B34" s="9">
        <v>3</v>
      </c>
      <c r="C34" s="136">
        <v>3.8E-3</v>
      </c>
      <c r="D34" s="136">
        <f t="shared" si="2"/>
        <v>3.5600000000000007E-3</v>
      </c>
      <c r="E34" s="141">
        <v>179400</v>
      </c>
      <c r="F34" s="165">
        <v>-2.0999999999999999E-3</v>
      </c>
      <c r="G34" s="136">
        <v>2.6200000000000001E-2</v>
      </c>
      <c r="H34" s="154"/>
      <c r="I34" s="136">
        <f>(0.2*(G34-G34*'TAX reduces gains by'!$Y$22))  +  (0.8*(F34))</f>
        <v>2.8793137254901954E-3</v>
      </c>
      <c r="J34" s="135">
        <f t="shared" ref="J34:J91" si="4">K33-$J$31</f>
        <v>178905.37180935231</v>
      </c>
      <c r="K34" s="6">
        <f t="shared" ref="K34:K91" si="5">J34+(J34*I34)</f>
        <v>179420.4965019669</v>
      </c>
    </row>
    <row r="35" spans="1:11" x14ac:dyDescent="0.25">
      <c r="A35" s="9">
        <v>2008</v>
      </c>
      <c r="B35" s="9">
        <v>4</v>
      </c>
      <c r="C35" s="136">
        <v>7.3999999999999996E-2</v>
      </c>
      <c r="D35" s="136">
        <f t="shared" si="2"/>
        <v>7.4940000000000007E-2</v>
      </c>
      <c r="E35" s="141">
        <v>189350</v>
      </c>
      <c r="F35" s="136">
        <v>9.1499999999999998E-2</v>
      </c>
      <c r="G35" s="136">
        <v>8.6999999999999994E-3</v>
      </c>
      <c r="H35" s="154"/>
      <c r="I35" s="136">
        <f>(0.2*(G35-G35*'TAX reduces gains by'!$Y$22))  +  (0.8*(F35-F35*'TAX reduces gains by'!$Y$21))</f>
        <v>6.0073970588235298E-2</v>
      </c>
      <c r="J35" s="135">
        <f t="shared" si="4"/>
        <v>176087.4965019669</v>
      </c>
      <c r="K35" s="6">
        <f t="shared" si="5"/>
        <v>186665.77158778204</v>
      </c>
    </row>
    <row r="36" spans="1:11" x14ac:dyDescent="0.25">
      <c r="A36" s="9">
        <v>2008</v>
      </c>
      <c r="B36" s="9">
        <v>5</v>
      </c>
      <c r="C36" s="136">
        <v>7.46E-2</v>
      </c>
      <c r="D36" s="136">
        <f t="shared" si="2"/>
        <v>7.442E-2</v>
      </c>
      <c r="E36" s="141">
        <v>200136</v>
      </c>
      <c r="F36" s="136">
        <v>9.1600000000000001E-2</v>
      </c>
      <c r="G36" s="136">
        <v>5.7000000000000002E-3</v>
      </c>
      <c r="H36" s="154"/>
      <c r="I36" s="136">
        <f>(0.2*(G36-G36*'TAX reduces gains by'!$Y$22))  +  (0.8*(F36-F36*'TAX reduces gains by'!$Y$21))</f>
        <v>5.9615911764705883E-2</v>
      </c>
      <c r="J36" s="135">
        <f t="shared" si="4"/>
        <v>183332.77158778204</v>
      </c>
      <c r="K36" s="6">
        <f t="shared" si="5"/>
        <v>194262.32192233825</v>
      </c>
    </row>
    <row r="37" spans="1:11" x14ac:dyDescent="0.25">
      <c r="A37" s="9">
        <v>2008</v>
      </c>
      <c r="B37" s="9">
        <v>6</v>
      </c>
      <c r="C37" s="136">
        <v>-2.2700000000000001E-2</v>
      </c>
      <c r="D37" s="136">
        <f t="shared" si="2"/>
        <v>-2.2540000000000001E-2</v>
      </c>
      <c r="E37" s="141">
        <v>192256</v>
      </c>
      <c r="F37" s="165">
        <v>-2.5600000000000001E-2</v>
      </c>
      <c r="G37" s="165">
        <v>-1.03E-2</v>
      </c>
      <c r="H37" s="154"/>
      <c r="I37" s="136">
        <f>(0.2*(G37))  +  (0.8*(F37))</f>
        <v>-2.2540000000000001E-2</v>
      </c>
      <c r="J37" s="135">
        <f t="shared" si="4"/>
        <v>190929.32192233825</v>
      </c>
      <c r="K37" s="6">
        <f t="shared" si="5"/>
        <v>186625.77500620874</v>
      </c>
    </row>
    <row r="38" spans="1:11" x14ac:dyDescent="0.25">
      <c r="A38" s="9">
        <v>2008</v>
      </c>
      <c r="B38" s="9">
        <v>7</v>
      </c>
      <c r="C38" s="136">
        <v>4.0800000000000003E-2</v>
      </c>
      <c r="D38" s="136">
        <f t="shared" si="2"/>
        <v>4.0260000000000004E-2</v>
      </c>
      <c r="E38" s="141">
        <v>196762</v>
      </c>
      <c r="F38" s="136">
        <v>4.8899999999999999E-2</v>
      </c>
      <c r="G38" s="136">
        <v>5.7000000000000002E-3</v>
      </c>
      <c r="H38" s="154"/>
      <c r="I38" s="136">
        <f>(0.2*(G38-G38*'TAX reduces gains by'!$Y$22))  +  (0.8*(F38-F38*'TAX reduces gains by'!$Y$21))</f>
        <v>3.2287911764705884E-2</v>
      </c>
      <c r="J38" s="135">
        <f t="shared" si="4"/>
        <v>183292.77500620874</v>
      </c>
      <c r="K38" s="6">
        <f t="shared" si="5"/>
        <v>189210.9159527173</v>
      </c>
    </row>
    <row r="39" spans="1:11" x14ac:dyDescent="0.25">
      <c r="A39" s="9">
        <v>2008</v>
      </c>
      <c r="B39" s="9">
        <v>8</v>
      </c>
      <c r="C39" s="136">
        <v>5.8599999999999999E-2</v>
      </c>
      <c r="D39" s="136">
        <f t="shared" si="2"/>
        <v>5.7560000000000007E-2</v>
      </c>
      <c r="E39" s="141">
        <v>204957</v>
      </c>
      <c r="F39" s="136">
        <v>6.9000000000000006E-2</v>
      </c>
      <c r="G39" s="136">
        <v>1.18E-2</v>
      </c>
      <c r="H39" s="154"/>
      <c r="I39" s="136">
        <f>(0.2*(G39-G39*'TAX reduces gains by'!$Y$22))  +  (0.8*(F39-F39*'TAX reduces gains by'!$Y$21))</f>
        <v>4.6213431372549026E-2</v>
      </c>
      <c r="J39" s="135">
        <f t="shared" si="4"/>
        <v>185877.9159527173</v>
      </c>
      <c r="K39" s="6">
        <f t="shared" si="5"/>
        <v>194467.97226527066</v>
      </c>
    </row>
    <row r="40" spans="1:11" x14ac:dyDescent="0.25">
      <c r="A40" s="9">
        <v>2008</v>
      </c>
      <c r="B40" s="9">
        <v>9</v>
      </c>
      <c r="C40" s="136">
        <v>2.3900000000000001E-2</v>
      </c>
      <c r="D40" s="136">
        <f t="shared" si="2"/>
        <v>2.1840000000000002E-2</v>
      </c>
      <c r="E40" s="141">
        <v>206516</v>
      </c>
      <c r="F40" s="136">
        <v>3.7100000000000001E-2</v>
      </c>
      <c r="G40" s="136">
        <v>-3.9199999999999999E-2</v>
      </c>
      <c r="H40" s="154"/>
      <c r="I40" s="136">
        <f>(0.2*(G40-G40*'TAX reduces gains by'!$Y$22))  +  (0.8*(F40-F40*'TAX reduces gains by'!$Y$21))</f>
        <v>1.6922431372549021E-2</v>
      </c>
      <c r="J40" s="135">
        <f t="shared" si="4"/>
        <v>191134.97226527066</v>
      </c>
      <c r="K40" s="6">
        <f t="shared" si="5"/>
        <v>194369.44071632376</v>
      </c>
    </row>
    <row r="41" spans="1:11" x14ac:dyDescent="0.25">
      <c r="A41" s="9">
        <v>2008</v>
      </c>
      <c r="B41" s="9">
        <v>10</v>
      </c>
      <c r="C41" s="136">
        <v>-0.2437</v>
      </c>
      <c r="D41" s="136">
        <f t="shared" si="2"/>
        <v>-0.23288</v>
      </c>
      <c r="E41" s="141">
        <v>152849</v>
      </c>
      <c r="F41" s="165">
        <v>-0.29139999999999999</v>
      </c>
      <c r="G41" s="136">
        <v>1.1999999999999999E-3</v>
      </c>
      <c r="H41" s="154"/>
      <c r="I41" s="136">
        <f>(0.2*(G41-G41*'TAX reduces gains by'!$Y$22))  +  (0.8*(F41))</f>
        <v>-0.23291117647058823</v>
      </c>
      <c r="J41" s="135">
        <f t="shared" si="4"/>
        <v>191036.44071632376</v>
      </c>
      <c r="K41" s="6">
        <f t="shared" si="5"/>
        <v>146541.91856033102</v>
      </c>
    </row>
    <row r="42" spans="1:11" x14ac:dyDescent="0.25">
      <c r="A42" s="9">
        <v>2008</v>
      </c>
      <c r="B42" s="9">
        <v>11</v>
      </c>
      <c r="C42" s="136">
        <v>-0.14299999999999999</v>
      </c>
      <c r="D42" s="136">
        <f t="shared" si="2"/>
        <v>-0.14588000000000001</v>
      </c>
      <c r="E42" s="141">
        <v>127665</v>
      </c>
      <c r="F42" s="165">
        <v>-0.18279999999999999</v>
      </c>
      <c r="G42" s="136">
        <v>1.8E-3</v>
      </c>
      <c r="H42" s="154"/>
      <c r="I42" s="136">
        <f>(0.2*(G42-G42*'TAX reduces gains by'!$Y$22))  +  (0.8*(F42))</f>
        <v>-0.14592676470588237</v>
      </c>
      <c r="J42" s="135">
        <f t="shared" si="4"/>
        <v>143208.91856033102</v>
      </c>
      <c r="K42" s="6">
        <f t="shared" si="5"/>
        <v>122310.90439779373</v>
      </c>
    </row>
    <row r="43" spans="1:11" x14ac:dyDescent="0.25">
      <c r="A43" s="9">
        <v>2008</v>
      </c>
      <c r="B43" s="9">
        <v>12</v>
      </c>
      <c r="C43" s="136">
        <v>0.16489999999999999</v>
      </c>
      <c r="D43" s="136">
        <f t="shared" si="2"/>
        <v>0.17542000000000002</v>
      </c>
      <c r="E43" s="141">
        <v>145381</v>
      </c>
      <c r="F43" s="136">
        <v>0.21579999999999999</v>
      </c>
      <c r="G43" s="136">
        <v>1.3899999999999999E-2</v>
      </c>
      <c r="H43" s="154"/>
      <c r="I43" s="136">
        <f>(0.2*(G43-G43*'TAX reduces gains by'!$Y$22))  +  (0.8*(F43-F43*'TAX reduces gains by'!$Y$21))</f>
        <v>0.14053087254901958</v>
      </c>
      <c r="J43" s="135">
        <f t="shared" si="4"/>
        <v>118977.90439779373</v>
      </c>
      <c r="K43" s="6">
        <f t="shared" si="5"/>
        <v>135697.97311686951</v>
      </c>
    </row>
    <row r="44" spans="1:11" x14ac:dyDescent="0.25">
      <c r="A44" s="9">
        <v>2009</v>
      </c>
      <c r="B44" s="9">
        <v>1</v>
      </c>
      <c r="C44" s="136">
        <v>-1.5699999999999999E-2</v>
      </c>
      <c r="D44" s="136">
        <f t="shared" si="2"/>
        <v>-1.566E-2</v>
      </c>
      <c r="E44" s="141">
        <v>139769</v>
      </c>
      <c r="F44" s="165">
        <v>-2.8899999999999999E-2</v>
      </c>
      <c r="G44" s="136">
        <v>3.73E-2</v>
      </c>
      <c r="H44" s="154"/>
      <c r="I44" s="136">
        <f>(0.2*(G44-G44*'TAX reduces gains by'!$Y$22))  +  (0.8*(F44))</f>
        <v>-1.6629068627450984E-2</v>
      </c>
      <c r="J44" s="135">
        <f t="shared" si="4"/>
        <v>132364.97311686951</v>
      </c>
      <c r="K44" s="6">
        <f t="shared" si="5"/>
        <v>130163.86689503839</v>
      </c>
    </row>
    <row r="45" spans="1:11" x14ac:dyDescent="0.25">
      <c r="A45" s="9">
        <v>2009</v>
      </c>
      <c r="B45" s="9">
        <v>2</v>
      </c>
      <c r="C45" s="136">
        <v>-5.0700000000000002E-2</v>
      </c>
      <c r="D45" s="136">
        <f t="shared" si="2"/>
        <v>-5.1319999999999998E-2</v>
      </c>
      <c r="E45" s="141">
        <v>129351</v>
      </c>
      <c r="F45" s="165">
        <v>-6.3E-2</v>
      </c>
      <c r="G45" s="165">
        <v>-4.5999999999999999E-3</v>
      </c>
      <c r="H45" s="154"/>
      <c r="I45" s="136">
        <f>(0.2*(G45))  +  (0.8*(F45))</f>
        <v>-5.1319999999999998E-2</v>
      </c>
      <c r="J45" s="135">
        <f t="shared" si="4"/>
        <v>126830.86689503839</v>
      </c>
      <c r="K45" s="6">
        <f t="shared" si="5"/>
        <v>120321.90680598503</v>
      </c>
    </row>
    <row r="46" spans="1:11" x14ac:dyDescent="0.25">
      <c r="A46" s="9">
        <v>2009</v>
      </c>
      <c r="B46" s="9">
        <v>3</v>
      </c>
      <c r="C46" s="136">
        <v>9.4100000000000003E-2</v>
      </c>
      <c r="D46" s="136">
        <f t="shared" si="2"/>
        <v>9.6640000000000018E-2</v>
      </c>
      <c r="E46" s="141">
        <v>138184</v>
      </c>
      <c r="F46" s="136">
        <v>0.12130000000000001</v>
      </c>
      <c r="G46" s="165">
        <v>-2E-3</v>
      </c>
      <c r="H46" s="154"/>
      <c r="I46" s="136">
        <f>(0.2*(G46))  +  (0.8*(F46-F46*'TAX reduces gains by'!$Y$21))</f>
        <v>7.7232000000000009E-2</v>
      </c>
      <c r="J46" s="135">
        <f t="shared" si="4"/>
        <v>116988.90680598503</v>
      </c>
      <c r="K46" s="6">
        <f t="shared" si="5"/>
        <v>126024.19405642487</v>
      </c>
    </row>
    <row r="47" spans="1:11" x14ac:dyDescent="0.25">
      <c r="A47" s="9">
        <v>2009</v>
      </c>
      <c r="B47" s="9">
        <v>4</v>
      </c>
      <c r="C47" s="136">
        <v>7.17E-2</v>
      </c>
      <c r="D47" s="136">
        <f t="shared" si="2"/>
        <v>7.1820000000000009E-2</v>
      </c>
      <c r="E47" s="141">
        <v>144761</v>
      </c>
      <c r="F47" s="136">
        <v>8.5300000000000001E-2</v>
      </c>
      <c r="G47" s="136">
        <v>1.7899999999999999E-2</v>
      </c>
      <c r="H47" s="154"/>
      <c r="I47" s="136">
        <f>(0.2*(G47-G47*'TAX reduces gains by'!$Y$22))  +  (0.8*(F47-F47*'TAX reduces gains by'!$Y$21))</f>
        <v>5.7706950980392156E-2</v>
      </c>
      <c r="J47" s="135">
        <f t="shared" si="4"/>
        <v>122691.19405642487</v>
      </c>
      <c r="K47" s="6">
        <f t="shared" si="5"/>
        <v>129771.32877756476</v>
      </c>
    </row>
    <row r="48" spans="1:11" x14ac:dyDescent="0.25">
      <c r="A48" s="9">
        <v>2009</v>
      </c>
      <c r="B48" s="9">
        <v>5</v>
      </c>
      <c r="C48" s="136">
        <v>-3.7000000000000002E-3</v>
      </c>
      <c r="D48" s="136">
        <f t="shared" si="2"/>
        <v>-3.64E-3</v>
      </c>
      <c r="E48" s="141">
        <v>140887</v>
      </c>
      <c r="F48" s="165">
        <v>-6.7000000000000002E-3</v>
      </c>
      <c r="G48" s="136">
        <v>8.6E-3</v>
      </c>
      <c r="H48" s="154"/>
      <c r="I48" s="136">
        <f>(0.2*(G48-G48*'TAX reduces gains by'!$Y$22))  +  (0.8*(F48-F48*'TAX reduces gains by'!$Y$21))</f>
        <v>-2.7914313725490199E-3</v>
      </c>
      <c r="J48" s="135">
        <f t="shared" si="4"/>
        <v>126438.32877756476</v>
      </c>
      <c r="K48" s="6">
        <f t="shared" si="5"/>
        <v>126085.3848599224</v>
      </c>
    </row>
    <row r="49" spans="1:11" x14ac:dyDescent="0.25">
      <c r="A49" s="9">
        <v>2009</v>
      </c>
      <c r="B49" s="9">
        <v>6</v>
      </c>
      <c r="C49" s="136">
        <v>7.4000000000000003E-3</v>
      </c>
      <c r="D49" s="136">
        <f t="shared" si="2"/>
        <v>7.26E-3</v>
      </c>
      <c r="E49" s="141">
        <v>138599</v>
      </c>
      <c r="F49" s="136">
        <v>1.15E-2</v>
      </c>
      <c r="G49" s="165">
        <v>-9.7000000000000003E-3</v>
      </c>
      <c r="H49" s="154"/>
      <c r="I49" s="136">
        <f>(0.2*(G49))  +  (0.8*(F49-F49*'TAX reduces gains by'!$Y$21))</f>
        <v>5.4200000000000003E-3</v>
      </c>
      <c r="J49" s="135">
        <f t="shared" si="4"/>
        <v>122752.3848599224</v>
      </c>
      <c r="K49" s="6">
        <f t="shared" si="5"/>
        <v>123417.70278586318</v>
      </c>
    </row>
    <row r="50" spans="1:11" x14ac:dyDescent="0.25">
      <c r="A50" s="9">
        <v>2009</v>
      </c>
      <c r="B50" s="9">
        <v>7</v>
      </c>
      <c r="C50" s="136">
        <v>0.1095</v>
      </c>
      <c r="D50" s="136">
        <f t="shared" si="2"/>
        <v>0.10846</v>
      </c>
      <c r="E50" s="141">
        <v>150446</v>
      </c>
      <c r="F50" s="136">
        <v>0.13109999999999999</v>
      </c>
      <c r="G50" s="136">
        <v>1.7899999999999999E-2</v>
      </c>
      <c r="H50" s="154"/>
      <c r="I50" s="136">
        <f>(0.2*(G50-G50*'TAX reduces gains by'!$Y$22))  +  (0.8*(F50-F50*'TAX reduces gains by'!$Y$21))</f>
        <v>8.7018950980392168E-2</v>
      </c>
      <c r="J50" s="135">
        <f t="shared" si="4"/>
        <v>120084.70278586318</v>
      </c>
      <c r="K50" s="6">
        <f t="shared" si="5"/>
        <v>130534.34765108116</v>
      </c>
    </row>
    <row r="51" spans="1:11" x14ac:dyDescent="0.25">
      <c r="A51" s="9">
        <v>2009</v>
      </c>
      <c r="B51" s="9">
        <v>8</v>
      </c>
      <c r="C51" s="136">
        <v>6.3799999999999996E-2</v>
      </c>
      <c r="D51" s="136">
        <f t="shared" si="2"/>
        <v>6.2220000000000011E-2</v>
      </c>
      <c r="E51" s="141">
        <v>156714</v>
      </c>
      <c r="F51" s="136">
        <v>7.4700000000000003E-2</v>
      </c>
      <c r="G51" s="136">
        <v>1.23E-2</v>
      </c>
      <c r="H51" s="154"/>
      <c r="I51" s="136">
        <f>(0.2*(G51-G51*'TAX reduces gains by'!$Y$22))  +  (0.8*(F51-F51*'TAX reduces gains by'!$Y$21))</f>
        <v>4.9948441176470591E-2</v>
      </c>
      <c r="J51" s="135">
        <f t="shared" si="4"/>
        <v>127201.34765108116</v>
      </c>
      <c r="K51" s="6">
        <f t="shared" si="5"/>
        <v>133554.85668179896</v>
      </c>
    </row>
    <row r="52" spans="1:11" x14ac:dyDescent="0.25">
      <c r="A52" s="9">
        <v>2009</v>
      </c>
      <c r="B52" s="9">
        <v>9</v>
      </c>
      <c r="C52" s="136">
        <v>5.2900000000000003E-2</v>
      </c>
      <c r="D52" s="136">
        <f t="shared" si="2"/>
        <v>5.2000000000000005E-2</v>
      </c>
      <c r="E52" s="141">
        <v>161675</v>
      </c>
      <c r="F52" s="136">
        <v>5.7500000000000002E-2</v>
      </c>
      <c r="G52" s="136">
        <v>0.03</v>
      </c>
      <c r="H52" s="154"/>
      <c r="I52" s="136">
        <f>(0.2*(G52-G52*'TAX reduces gains by'!$Y$22))  +  (0.8*(F52-F52*'TAX reduces gains by'!$Y$21))</f>
        <v>4.2020588235294115E-2</v>
      </c>
      <c r="J52" s="135">
        <f t="shared" si="4"/>
        <v>130221.85668179896</v>
      </c>
      <c r="K52" s="6">
        <f t="shared" si="5"/>
        <v>135693.85570066032</v>
      </c>
    </row>
    <row r="53" spans="1:11" x14ac:dyDescent="0.25">
      <c r="A53" s="9">
        <v>2009</v>
      </c>
      <c r="B53" s="9">
        <v>10</v>
      </c>
      <c r="C53" s="136">
        <v>-1.4200000000000001E-2</v>
      </c>
      <c r="D53" s="136">
        <f t="shared" si="2"/>
        <v>-1.4500000000000001E-2</v>
      </c>
      <c r="E53" s="141">
        <v>156053</v>
      </c>
      <c r="F53" s="165">
        <v>-1.2699999999999999E-2</v>
      </c>
      <c r="G53" s="165">
        <v>-2.1700000000000001E-2</v>
      </c>
      <c r="H53" s="154"/>
      <c r="I53" s="136">
        <f>(0.2*(G53))  +  (0.8*(F53))</f>
        <v>-1.4500000000000001E-2</v>
      </c>
      <c r="J53" s="135">
        <f t="shared" si="4"/>
        <v>132360.85570066032</v>
      </c>
      <c r="K53" s="6">
        <f t="shared" si="5"/>
        <v>130441.62329300075</v>
      </c>
    </row>
    <row r="54" spans="1:11" x14ac:dyDescent="0.25">
      <c r="A54" s="9">
        <v>2009</v>
      </c>
      <c r="B54" s="9">
        <v>11</v>
      </c>
      <c r="C54" s="136">
        <v>6.7400000000000002E-2</v>
      </c>
      <c r="D54" s="136">
        <f t="shared" si="2"/>
        <v>6.4820000000000003E-2</v>
      </c>
      <c r="E54" s="141">
        <v>163240</v>
      </c>
      <c r="F54" s="136">
        <v>7.8200000000000006E-2</v>
      </c>
      <c r="G54" s="136">
        <v>1.1299999999999999E-2</v>
      </c>
      <c r="H54" s="154"/>
      <c r="I54" s="136">
        <f>(0.2*(G54-G54*'TAX reduces gains by'!$Y$22))  +  (0.8*(F54-F54*'TAX reduces gains by'!$Y$21))</f>
        <v>5.2014421568627463E-2</v>
      </c>
      <c r="J54" s="135">
        <f t="shared" si="4"/>
        <v>127108.62329300075</v>
      </c>
      <c r="K54" s="6">
        <f t="shared" si="5"/>
        <v>133720.10480997077</v>
      </c>
    </row>
    <row r="55" spans="1:11" x14ac:dyDescent="0.25">
      <c r="A55" s="9">
        <v>2009</v>
      </c>
      <c r="B55" s="9">
        <v>12</v>
      </c>
      <c r="C55" s="136">
        <v>3.6600000000000001E-2</v>
      </c>
      <c r="D55" s="136">
        <f t="shared" si="2"/>
        <v>3.4660000000000003E-2</v>
      </c>
      <c r="E55" s="141">
        <v>165886</v>
      </c>
      <c r="F55" s="136">
        <v>4.2900000000000001E-2</v>
      </c>
      <c r="G55" s="136">
        <v>1.6999999999999999E-3</v>
      </c>
      <c r="H55" s="154"/>
      <c r="I55" s="136">
        <f>(0.2*(G55-G55*'TAX reduces gains by'!$Y$22))  +  (0.8*(F55-F55*'TAX reduces gains by'!$Y$21))</f>
        <v>2.7751833333333337E-2</v>
      </c>
      <c r="J55" s="135">
        <f t="shared" si="4"/>
        <v>130387.10480997077</v>
      </c>
      <c r="K55" s="6">
        <f t="shared" si="5"/>
        <v>134005.58601147294</v>
      </c>
    </row>
    <row r="56" spans="1:11" x14ac:dyDescent="0.25">
      <c r="A56" s="9">
        <v>2010</v>
      </c>
      <c r="B56" s="9">
        <v>1</v>
      </c>
      <c r="C56" s="136">
        <v>-3.5200000000000002E-2</v>
      </c>
      <c r="D56" s="136">
        <f t="shared" si="2"/>
        <v>-3.5160000000000004E-2</v>
      </c>
      <c r="E56" s="141">
        <v>156715</v>
      </c>
      <c r="F56" s="165">
        <v>-4.53E-2</v>
      </c>
      <c r="G56" s="136">
        <v>5.4000000000000003E-3</v>
      </c>
      <c r="H56" s="154"/>
      <c r="I56" s="136">
        <f>(0.2*(G56-G56*'TAX reduces gains by'!$Y$22))  +  (0.8*(F56))</f>
        <v>-3.5300294117647062E-2</v>
      </c>
      <c r="J56" s="135">
        <f t="shared" si="4"/>
        <v>130672.58601147294</v>
      </c>
      <c r="K56" s="6">
        <f t="shared" si="5"/>
        <v>126059.80529215441</v>
      </c>
    </row>
    <row r="57" spans="1:11" x14ac:dyDescent="0.25">
      <c r="A57" s="9">
        <v>2010</v>
      </c>
      <c r="B57" s="9">
        <v>2</v>
      </c>
      <c r="C57" s="136">
        <v>6.0999999999999999E-2</v>
      </c>
      <c r="D57" s="136">
        <f t="shared" si="2"/>
        <v>6.1580000000000003E-2</v>
      </c>
      <c r="E57" s="141">
        <v>162944</v>
      </c>
      <c r="F57" s="136">
        <v>7.46E-2</v>
      </c>
      <c r="G57" s="136">
        <v>9.4999999999999998E-3</v>
      </c>
      <c r="H57" s="154"/>
      <c r="I57" s="136">
        <f>(0.2*(G57-G57*'TAX reduces gains by'!$Y$22))  +  (0.8*(F57-F57*'TAX reduces gains by'!$Y$21))</f>
        <v>4.9397186274509806E-2</v>
      </c>
      <c r="J57" s="135">
        <f t="shared" si="4"/>
        <v>122726.80529215441</v>
      </c>
      <c r="K57" s="6">
        <f t="shared" si="5"/>
        <v>128789.16415404646</v>
      </c>
    </row>
    <row r="58" spans="1:11" x14ac:dyDescent="0.25">
      <c r="A58" s="9">
        <v>2010</v>
      </c>
      <c r="B58" s="9">
        <v>3</v>
      </c>
      <c r="C58" s="136">
        <v>4.6600000000000003E-2</v>
      </c>
      <c r="D58" s="136">
        <f t="shared" si="2"/>
        <v>4.6480000000000007E-2</v>
      </c>
      <c r="E58" s="141">
        <v>167206</v>
      </c>
      <c r="F58" s="136">
        <v>5.9900000000000002E-2</v>
      </c>
      <c r="G58" s="165">
        <v>-7.1999999999999998E-3</v>
      </c>
      <c r="H58" s="154"/>
      <c r="I58" s="136">
        <f>(0.2*(G58))  +  (0.8*(F58-F58*'TAX reduces gains by'!$Y$21))</f>
        <v>3.6896000000000012E-2</v>
      </c>
      <c r="J58" s="135">
        <f t="shared" si="4"/>
        <v>125456.16415404646</v>
      </c>
      <c r="K58" s="6">
        <f t="shared" si="5"/>
        <v>130084.99478667416</v>
      </c>
    </row>
    <row r="59" spans="1:11" x14ac:dyDescent="0.25">
      <c r="A59" s="9">
        <v>2010</v>
      </c>
      <c r="B59" s="9">
        <v>4</v>
      </c>
      <c r="C59" s="136">
        <v>6.9400000000000003E-2</v>
      </c>
      <c r="D59" s="136">
        <f t="shared" si="2"/>
        <v>6.8500000000000005E-2</v>
      </c>
      <c r="E59" s="141">
        <v>175474</v>
      </c>
      <c r="F59" s="136">
        <v>8.3000000000000004E-2</v>
      </c>
      <c r="G59" s="136">
        <v>1.0500000000000001E-2</v>
      </c>
      <c r="H59" s="154"/>
      <c r="I59" s="136">
        <f>(0.2*(G59-G59*'TAX reduces gains by'!$Y$22))  +  (0.8*(F59-F59*'TAX reduces gains by'!$Y$21))</f>
        <v>5.494720588235294E-2</v>
      </c>
      <c r="J59" s="135">
        <f t="shared" si="4"/>
        <v>126751.99478667416</v>
      </c>
      <c r="K59" s="6">
        <f t="shared" si="5"/>
        <v>133716.66274021647</v>
      </c>
    </row>
    <row r="60" spans="1:11" x14ac:dyDescent="0.25">
      <c r="A60" s="9">
        <v>2010</v>
      </c>
      <c r="B60" s="9">
        <v>5</v>
      </c>
      <c r="C60" s="136">
        <v>-2.3699999999999999E-2</v>
      </c>
      <c r="D60" s="136">
        <f t="shared" si="2"/>
        <v>-2.2880000000000001E-2</v>
      </c>
      <c r="E60" s="141">
        <v>167976</v>
      </c>
      <c r="F60" s="165">
        <v>-3.0499999999999999E-2</v>
      </c>
      <c r="G60" s="136">
        <v>7.6E-3</v>
      </c>
      <c r="H60" s="154"/>
      <c r="I60" s="136">
        <f>(0.2*(G60-G60*'TAX reduces gains by'!$Y$22))  +  (0.8*(F60))</f>
        <v>-2.3077450980392159E-2</v>
      </c>
      <c r="J60" s="135">
        <f t="shared" si="4"/>
        <v>130383.66274021647</v>
      </c>
      <c r="K60" s="6">
        <f t="shared" si="5"/>
        <v>127374.74015468515</v>
      </c>
    </row>
    <row r="61" spans="1:11" x14ac:dyDescent="0.25">
      <c r="A61" s="9">
        <v>2010</v>
      </c>
      <c r="B61" s="9">
        <v>6</v>
      </c>
      <c r="C61" s="136">
        <v>1.7399999999999999E-2</v>
      </c>
      <c r="D61" s="136">
        <f t="shared" si="2"/>
        <v>1.7059999999999999E-2</v>
      </c>
      <c r="E61" s="141">
        <v>167567</v>
      </c>
      <c r="F61" s="136">
        <v>2.1299999999999999E-2</v>
      </c>
      <c r="G61" s="136">
        <v>1E-4</v>
      </c>
      <c r="H61" s="154"/>
      <c r="I61" s="136">
        <f>(0.2*(G61-G61*'TAX reduces gains by'!$Y$22))  +  (0.8*(F61-F61*'TAX reduces gains by'!$Y$21))</f>
        <v>1.3649401960784313E-2</v>
      </c>
      <c r="J61" s="135">
        <f t="shared" si="4"/>
        <v>124041.74015468515</v>
      </c>
      <c r="K61" s="6">
        <f t="shared" si="5"/>
        <v>125734.8357259716</v>
      </c>
    </row>
    <row r="62" spans="1:11" x14ac:dyDescent="0.25">
      <c r="A62" s="9">
        <v>2010</v>
      </c>
      <c r="B62" s="9">
        <v>7</v>
      </c>
      <c r="C62" s="136">
        <v>8.1100000000000005E-2</v>
      </c>
      <c r="D62" s="136">
        <f t="shared" si="2"/>
        <v>7.9480000000000009E-2</v>
      </c>
      <c r="E62" s="141">
        <v>177831</v>
      </c>
      <c r="F62" s="136">
        <v>9.6000000000000002E-2</v>
      </c>
      <c r="G62" s="136">
        <v>1.34E-2</v>
      </c>
      <c r="H62" s="154"/>
      <c r="I62" s="136">
        <f>(0.2*(G62-G62*'TAX reduces gains by'!$Y$22))  +  (0.8*(F62-F62*'TAX reduces gains by'!$Y$21))</f>
        <v>6.3771862745098051E-2</v>
      </c>
      <c r="J62" s="135">
        <f t="shared" si="4"/>
        <v>122401.8357259716</v>
      </c>
      <c r="K62" s="6">
        <f t="shared" si="5"/>
        <v>130207.62879363629</v>
      </c>
    </row>
    <row r="63" spans="1:11" x14ac:dyDescent="0.25">
      <c r="A63" s="9">
        <v>2010</v>
      </c>
      <c r="B63" s="9">
        <v>8</v>
      </c>
      <c r="C63" s="136">
        <v>-4.8000000000000001E-2</v>
      </c>
      <c r="D63" s="136">
        <f t="shared" si="2"/>
        <v>-4.5319999999999999E-2</v>
      </c>
      <c r="E63" s="141">
        <v>165969</v>
      </c>
      <c r="F63" s="165">
        <v>-6.25E-2</v>
      </c>
      <c r="G63" s="136">
        <v>2.3400000000000001E-2</v>
      </c>
      <c r="H63" s="154"/>
      <c r="I63" s="136">
        <f>(0.2*(G63-G63*'TAX reduces gains by'!$Y$22))  +  (0.8*(F63))</f>
        <v>-4.5927941176470588E-2</v>
      </c>
      <c r="J63" s="135">
        <f t="shared" si="4"/>
        <v>126874.62879363629</v>
      </c>
      <c r="K63" s="6">
        <f t="shared" si="5"/>
        <v>121047.53830561563</v>
      </c>
    </row>
    <row r="64" spans="1:11" x14ac:dyDescent="0.25">
      <c r="A64" s="9">
        <v>2010</v>
      </c>
      <c r="B64" s="9">
        <v>9</v>
      </c>
      <c r="C64" s="136">
        <v>0.04</v>
      </c>
      <c r="D64" s="136">
        <f t="shared" si="2"/>
        <v>3.8980000000000001E-2</v>
      </c>
      <c r="E64" s="141">
        <v>169272</v>
      </c>
      <c r="F64" s="136">
        <v>4.9799999999999997E-2</v>
      </c>
      <c r="G64" s="165">
        <v>-4.3E-3</v>
      </c>
      <c r="H64" s="154"/>
      <c r="I64" s="136">
        <f>(0.2*(G64))  +  (0.8*(F64-F64*'TAX reduces gains by'!$Y$21))</f>
        <v>3.1012000000000005E-2</v>
      </c>
      <c r="J64" s="135">
        <f t="shared" si="4"/>
        <v>117714.53830561563</v>
      </c>
      <c r="K64" s="6">
        <f t="shared" si="5"/>
        <v>121365.10156754938</v>
      </c>
    </row>
    <row r="65" spans="1:11" x14ac:dyDescent="0.25">
      <c r="A65" s="9">
        <v>2010</v>
      </c>
      <c r="B65" s="9">
        <v>10</v>
      </c>
      <c r="C65" s="136">
        <v>-2.7E-2</v>
      </c>
      <c r="D65" s="136">
        <f t="shared" si="2"/>
        <v>-2.622E-2</v>
      </c>
      <c r="E65" s="141">
        <v>161370</v>
      </c>
      <c r="F65" s="165">
        <v>-3.1899999999999998E-2</v>
      </c>
      <c r="G65" s="165">
        <v>-3.5000000000000001E-3</v>
      </c>
      <c r="H65" s="154"/>
      <c r="I65" s="136">
        <f>(0.2*(G65))  +  (0.8*(F65))</f>
        <v>-2.622E-2</v>
      </c>
      <c r="J65" s="135">
        <f t="shared" si="4"/>
        <v>118032.10156754938</v>
      </c>
      <c r="K65" s="6">
        <f t="shared" si="5"/>
        <v>114937.29986444824</v>
      </c>
    </row>
    <row r="66" spans="1:11" x14ac:dyDescent="0.25">
      <c r="A66" s="9">
        <v>2010</v>
      </c>
      <c r="B66" s="9">
        <v>11</v>
      </c>
      <c r="C66" s="136">
        <v>-0.1023</v>
      </c>
      <c r="D66" s="136">
        <f t="shared" si="2"/>
        <v>-0.10004</v>
      </c>
      <c r="E66" s="141">
        <v>141527</v>
      </c>
      <c r="F66" s="165">
        <v>-0.1207</v>
      </c>
      <c r="G66" s="165">
        <v>-1.7399999999999999E-2</v>
      </c>
      <c r="H66" s="154"/>
      <c r="I66" s="136">
        <f>(0.2*(G66))  +  (0.8*(F66))</f>
        <v>-0.10004</v>
      </c>
      <c r="J66" s="135">
        <f t="shared" si="4"/>
        <v>111604.29986444824</v>
      </c>
      <c r="K66" s="6">
        <f t="shared" si="5"/>
        <v>100439.40570600884</v>
      </c>
    </row>
    <row r="67" spans="1:11" x14ac:dyDescent="0.25">
      <c r="A67" s="9">
        <v>2010</v>
      </c>
      <c r="B67" s="9">
        <v>12</v>
      </c>
      <c r="C67" s="136">
        <v>-1.01E-2</v>
      </c>
      <c r="D67" s="136">
        <f t="shared" si="2"/>
        <v>-1.0120000000000001E-2</v>
      </c>
      <c r="E67" s="141">
        <v>136763</v>
      </c>
      <c r="F67" s="165">
        <v>-8.8000000000000005E-3</v>
      </c>
      <c r="G67" s="165">
        <v>-1.54E-2</v>
      </c>
      <c r="H67" s="154"/>
      <c r="I67" s="136">
        <f>(0.2*(G67))  +  (0.8*(F67))</f>
        <v>-1.0120000000000001E-2</v>
      </c>
      <c r="J67" s="135">
        <f t="shared" si="4"/>
        <v>97106.405706008838</v>
      </c>
      <c r="K67" s="6">
        <f t="shared" si="5"/>
        <v>96123.688880264031</v>
      </c>
    </row>
    <row r="68" spans="1:11" x14ac:dyDescent="0.25">
      <c r="A68" s="9">
        <v>2011</v>
      </c>
      <c r="B68" s="9">
        <v>1</v>
      </c>
      <c r="C68" s="136">
        <v>4.3099999999999999E-2</v>
      </c>
      <c r="D68" s="136">
        <f t="shared" si="2"/>
        <v>4.308E-2</v>
      </c>
      <c r="E68" s="141">
        <v>139321</v>
      </c>
      <c r="F68" s="136">
        <v>5.5500000000000001E-2</v>
      </c>
      <c r="G68" s="165">
        <v>-6.6E-3</v>
      </c>
      <c r="H68" s="154"/>
      <c r="I68" s="136">
        <f>(0.2*(G68))  +  (0.8*(F68-F68*'TAX reduces gains by'!$Y$21))</f>
        <v>3.4200000000000001E-2</v>
      </c>
      <c r="J68" s="135">
        <f t="shared" si="4"/>
        <v>92790.688880264031</v>
      </c>
      <c r="K68" s="6">
        <f t="shared" si="5"/>
        <v>95964.130439969056</v>
      </c>
    </row>
    <row r="69" spans="1:11" x14ac:dyDescent="0.25">
      <c r="A69" s="9">
        <v>2011</v>
      </c>
      <c r="B69" s="9">
        <v>2</v>
      </c>
      <c r="C69" s="136">
        <v>6.8699999999999997E-2</v>
      </c>
      <c r="D69" s="136">
        <f t="shared" si="2"/>
        <v>6.8059999999999996E-2</v>
      </c>
      <c r="E69" s="141">
        <v>145553</v>
      </c>
      <c r="F69" s="136">
        <v>8.1299999999999997E-2</v>
      </c>
      <c r="G69" s="136">
        <v>1.5100000000000001E-2</v>
      </c>
      <c r="H69" s="154"/>
      <c r="I69" s="136">
        <f>(0.2*(G69-G69*'TAX reduces gains by'!$Y$22))  +  (0.8*(F69-F69*'TAX reduces gains by'!$Y$21))</f>
        <v>5.4659696078431373E-2</v>
      </c>
      <c r="J69" s="135">
        <f t="shared" si="4"/>
        <v>92631.130439969056</v>
      </c>
      <c r="K69" s="6">
        <f t="shared" si="5"/>
        <v>97694.319877219299</v>
      </c>
    </row>
    <row r="70" spans="1:11" x14ac:dyDescent="0.25">
      <c r="A70" s="9">
        <v>2011</v>
      </c>
      <c r="B70" s="9">
        <v>3</v>
      </c>
      <c r="C70" s="136">
        <v>-2.0000000000000001E-4</v>
      </c>
      <c r="D70" s="136">
        <f t="shared" si="2"/>
        <v>-2.4000000000000003E-4</v>
      </c>
      <c r="E70" s="141">
        <v>142198</v>
      </c>
      <c r="F70" s="136">
        <v>4.0000000000000002E-4</v>
      </c>
      <c r="G70" s="136">
        <v>-2.8E-3</v>
      </c>
      <c r="H70" s="154"/>
      <c r="I70" s="136">
        <f>(0.2*(G70-G70*'TAX reduces gains by'!$Y$22))  +  (0.8*(F70-F70*'TAX reduces gains by'!$Y$21))</f>
        <v>-2.3125490196078424E-4</v>
      </c>
      <c r="J70" s="135">
        <f t="shared" si="4"/>
        <v>94361.319877219299</v>
      </c>
      <c r="K70" s="6">
        <f t="shared" si="5"/>
        <v>94339.498359442208</v>
      </c>
    </row>
    <row r="71" spans="1:11" x14ac:dyDescent="0.25">
      <c r="A71" s="9">
        <v>2011</v>
      </c>
      <c r="B71" s="9">
        <v>4</v>
      </c>
      <c r="C71" s="136">
        <v>3.39E-2</v>
      </c>
      <c r="D71" s="136">
        <f t="shared" si="2"/>
        <v>3.3440000000000004E-2</v>
      </c>
      <c r="E71" s="141">
        <v>143686</v>
      </c>
      <c r="F71" s="136">
        <v>3.78E-2</v>
      </c>
      <c r="G71" s="136">
        <v>1.6E-2</v>
      </c>
      <c r="H71" s="154"/>
      <c r="I71" s="136">
        <f>(0.2*(G71-G71*'TAX reduces gains by'!$Y$22))  +  (0.8*(F71-F71*'TAX reduces gains by'!$Y$21))</f>
        <v>2.6976313725490197E-2</v>
      </c>
      <c r="J71" s="135">
        <f t="shared" si="4"/>
        <v>91006.498359442208</v>
      </c>
      <c r="K71" s="6">
        <f t="shared" si="5"/>
        <v>93461.518210244831</v>
      </c>
    </row>
    <row r="72" spans="1:11" x14ac:dyDescent="0.25">
      <c r="A72" s="9">
        <v>2011</v>
      </c>
      <c r="B72" s="9">
        <v>5</v>
      </c>
      <c r="C72" s="136">
        <v>3.04E-2</v>
      </c>
      <c r="D72" s="136">
        <f t="shared" si="2"/>
        <v>2.9900000000000003E-2</v>
      </c>
      <c r="E72" s="141">
        <v>144715</v>
      </c>
      <c r="F72" s="136">
        <v>3.3599999999999998E-2</v>
      </c>
      <c r="G72" s="136">
        <v>1.5100000000000001E-2</v>
      </c>
      <c r="H72" s="154"/>
      <c r="I72" s="136">
        <f>(0.2*(G72-G72*'TAX reduces gains by'!$Y$22))  +  (0.8*(F72-F72*'TAX reduces gains by'!$Y$21))</f>
        <v>2.413169607843137E-2</v>
      </c>
      <c r="J72" s="135">
        <f t="shared" si="4"/>
        <v>90128.518210244831</v>
      </c>
      <c r="K72" s="6">
        <f t="shared" si="5"/>
        <v>92303.472219693824</v>
      </c>
    </row>
    <row r="73" spans="1:11" x14ac:dyDescent="0.25">
      <c r="A73" s="9">
        <v>2011</v>
      </c>
      <c r="B73" s="9">
        <v>6</v>
      </c>
      <c r="C73" s="136">
        <v>1.6999999999999999E-3</v>
      </c>
      <c r="D73" s="136">
        <f t="shared" si="2"/>
        <v>1.7200000000000002E-3</v>
      </c>
      <c r="E73" s="141">
        <v>141630</v>
      </c>
      <c r="F73" s="136">
        <v>1.4E-3</v>
      </c>
      <c r="G73" s="136">
        <v>3.0000000000000001E-3</v>
      </c>
      <c r="H73" s="154"/>
      <c r="I73" s="136">
        <f>(0.2*(G73-G73*'TAX reduces gains by'!$Y$22))  +  (0.8*(F73-F73*'TAX reduces gains by'!$Y$21))</f>
        <v>1.4180588235294116E-3</v>
      </c>
      <c r="J73" s="135">
        <f t="shared" si="4"/>
        <v>88970.472219693824</v>
      </c>
      <c r="K73" s="6">
        <f t="shared" si="5"/>
        <v>89096.637582858544</v>
      </c>
    </row>
    <row r="74" spans="1:11" x14ac:dyDescent="0.25">
      <c r="A74" s="9">
        <v>2011</v>
      </c>
      <c r="B74" s="9">
        <v>7</v>
      </c>
      <c r="C74" s="136">
        <v>-5.8999999999999999E-3</v>
      </c>
      <c r="D74" s="136">
        <f t="shared" si="2"/>
        <v>-5.4200000000000003E-3</v>
      </c>
      <c r="E74" s="141">
        <v>137460</v>
      </c>
      <c r="F74" s="165">
        <v>-9.1999999999999998E-3</v>
      </c>
      <c r="G74" s="136">
        <v>9.7000000000000003E-3</v>
      </c>
      <c r="H74" s="154"/>
      <c r="I74" s="136">
        <f>(0.2*(G74-G74*'TAX reduces gains by'!$Y$22))  +  (0.8*(F74))</f>
        <v>-5.6720098039215686E-3</v>
      </c>
      <c r="J74" s="135">
        <f t="shared" si="4"/>
        <v>85763.637582858544</v>
      </c>
      <c r="K74" s="6">
        <f t="shared" si="5"/>
        <v>85277.185389668593</v>
      </c>
    </row>
    <row r="75" spans="1:11" x14ac:dyDescent="0.25">
      <c r="A75" s="9">
        <v>2011</v>
      </c>
      <c r="B75" s="9">
        <v>8</v>
      </c>
      <c r="C75" s="136">
        <v>-1.7100000000000001E-2</v>
      </c>
      <c r="D75" s="136">
        <f t="shared" si="2"/>
        <v>-1.6320000000000001E-2</v>
      </c>
      <c r="E75" s="141">
        <v>131774</v>
      </c>
      <c r="F75" s="165">
        <v>-2.3900000000000001E-2</v>
      </c>
      <c r="G75" s="136">
        <v>1.4E-2</v>
      </c>
      <c r="H75" s="154"/>
      <c r="I75" s="136">
        <f>(0.2*(G75-G75*'TAX reduces gains by'!$Y$22))  +  (0.8*(F75))</f>
        <v>-1.6683725490196082E-2</v>
      </c>
      <c r="J75" s="135">
        <f t="shared" si="4"/>
        <v>81944.185389668593</v>
      </c>
      <c r="K75" s="6">
        <f t="shared" si="5"/>
        <v>80577.051095109622</v>
      </c>
    </row>
    <row r="76" spans="1:11" x14ac:dyDescent="0.25">
      <c r="A76" s="9">
        <v>2011</v>
      </c>
      <c r="B76" s="9">
        <v>9</v>
      </c>
      <c r="C76" s="136">
        <v>-5.2499999999999998E-2</v>
      </c>
      <c r="D76" s="136">
        <f t="shared" si="2"/>
        <v>-5.1339999999999997E-2</v>
      </c>
      <c r="E76" s="141">
        <v>121522</v>
      </c>
      <c r="F76" s="165">
        <v>-6.5799999999999997E-2</v>
      </c>
      <c r="G76" s="136">
        <v>6.4999999999999997E-3</v>
      </c>
      <c r="H76" s="154"/>
      <c r="I76" s="136">
        <f>(0.2*(G76-G76*'TAX reduces gains by'!$Y$22))  +  (0.8*(F76))</f>
        <v>-5.1508872549019605E-2</v>
      </c>
      <c r="J76" s="135">
        <f t="shared" si="4"/>
        <v>77244.051095109622</v>
      </c>
      <c r="K76" s="6">
        <f t="shared" si="5"/>
        <v>73265.297112081666</v>
      </c>
    </row>
    <row r="77" spans="1:11" x14ac:dyDescent="0.25">
      <c r="A77" s="9">
        <v>2011</v>
      </c>
      <c r="B77" s="9">
        <v>10</v>
      </c>
      <c r="C77" s="136">
        <v>0.104</v>
      </c>
      <c r="D77" s="136">
        <f t="shared" si="2"/>
        <v>0.10328000000000001</v>
      </c>
      <c r="E77" s="141">
        <v>130824</v>
      </c>
      <c r="F77" s="136">
        <v>0.13</v>
      </c>
      <c r="G77" s="165">
        <v>-3.5999999999999999E-3</v>
      </c>
      <c r="H77" s="154"/>
      <c r="I77" s="136">
        <f>(0.2*(G77))  +  (0.8*(F77-F77*'TAX reduces gains by'!$Y$21))</f>
        <v>8.2480000000000012E-2</v>
      </c>
      <c r="J77" s="135">
        <f t="shared" si="4"/>
        <v>69932.297112081666</v>
      </c>
      <c r="K77" s="6">
        <f t="shared" si="5"/>
        <v>75700.312977886162</v>
      </c>
    </row>
    <row r="78" spans="1:11" x14ac:dyDescent="0.25">
      <c r="A78" s="9">
        <v>2011</v>
      </c>
      <c r="B78" s="9">
        <v>11</v>
      </c>
      <c r="C78" s="136">
        <v>1.66E-2</v>
      </c>
      <c r="D78" s="136">
        <f t="shared" si="2"/>
        <v>1.634E-2</v>
      </c>
      <c r="E78" s="141">
        <v>129664</v>
      </c>
      <c r="F78" s="136">
        <v>1.8800000000000001E-2</v>
      </c>
      <c r="G78" s="136">
        <v>6.4999999999999997E-3</v>
      </c>
      <c r="H78" s="154"/>
      <c r="I78" s="136">
        <f>(0.2*(G78-G78*'TAX reduces gains by'!$Y$22))  +  (0.8*(F78-F78*'TAX reduces gains by'!$Y$21))</f>
        <v>1.3163127450980392E-2</v>
      </c>
      <c r="J78" s="135">
        <f t="shared" si="4"/>
        <v>72367.312977886162</v>
      </c>
      <c r="K78" s="6">
        <f t="shared" si="5"/>
        <v>73319.893141899069</v>
      </c>
    </row>
    <row r="79" spans="1:11" x14ac:dyDescent="0.25">
      <c r="A79" s="9">
        <v>2011</v>
      </c>
      <c r="B79" s="9">
        <v>12</v>
      </c>
      <c r="C79" s="136">
        <v>5.3900000000000003E-2</v>
      </c>
      <c r="D79" s="136">
        <f t="shared" si="2"/>
        <v>5.2880000000000003E-2</v>
      </c>
      <c r="E79" s="141">
        <v>133322</v>
      </c>
      <c r="F79" s="136">
        <v>6.1199999999999997E-2</v>
      </c>
      <c r="G79" s="136">
        <v>1.9599999999999999E-2</v>
      </c>
      <c r="H79" s="154"/>
      <c r="I79" s="136">
        <f>(0.2*(G79-G79*'TAX reduces gains by'!$Y$22))  +  (0.8*(F79-F79*'TAX reduces gains by'!$Y$21))</f>
        <v>4.2578784313725491E-2</v>
      </c>
      <c r="J79" s="135">
        <f t="shared" si="4"/>
        <v>69986.893141899069</v>
      </c>
      <c r="K79" s="6">
        <f t="shared" si="5"/>
        <v>72966.849969775736</v>
      </c>
    </row>
    <row r="80" spans="1:11" s="87" customFormat="1" x14ac:dyDescent="0.25">
      <c r="A80" s="87">
        <v>2012</v>
      </c>
      <c r="B80" s="87">
        <v>1</v>
      </c>
      <c r="C80" s="154">
        <v>5.4699999999999999E-2</v>
      </c>
      <c r="D80" s="136">
        <f t="shared" si="2"/>
        <v>5.4640000000000001E-2</v>
      </c>
      <c r="E80" s="155">
        <v>137279</v>
      </c>
      <c r="F80" s="154">
        <v>6.2799999999999995E-2</v>
      </c>
      <c r="G80" s="154">
        <v>2.1999999999999999E-2</v>
      </c>
      <c r="H80" s="154"/>
      <c r="I80" s="136">
        <f>(0.2*(G80-G80*'TAX reduces gains by'!$Y$22))  +  (0.8*(F80-F80*'TAX reduces gains by'!$Y$21))</f>
        <v>4.4020431372549018E-2</v>
      </c>
      <c r="J80" s="135">
        <f t="shared" si="4"/>
        <v>69633.849969775736</v>
      </c>
      <c r="K80" s="6">
        <f t="shared" si="5"/>
        <v>72699.162083576623</v>
      </c>
    </row>
    <row r="81" spans="1:11" x14ac:dyDescent="0.25">
      <c r="A81" s="9">
        <v>2012</v>
      </c>
      <c r="B81" s="9">
        <v>2</v>
      </c>
      <c r="C81" s="136">
        <v>1.8599999999999998E-2</v>
      </c>
      <c r="D81" s="136">
        <f t="shared" si="2"/>
        <v>1.8419999999999999E-2</v>
      </c>
      <c r="E81" s="141">
        <v>136500</v>
      </c>
      <c r="F81" s="136">
        <v>2.3099999999999999E-2</v>
      </c>
      <c r="G81" s="136">
        <v>-2.9999999999999997E-4</v>
      </c>
      <c r="H81" s="154"/>
      <c r="I81" s="136">
        <f>(0.2*(G81-G81*'TAX reduces gains by'!$Y$22))  +  (0.8*(F81-F81*'TAX reduces gains by'!$Y$21))</f>
        <v>1.473179411764706E-2</v>
      </c>
      <c r="J81" s="135">
        <f t="shared" si="4"/>
        <v>69366.162083576623</v>
      </c>
      <c r="K81" s="6">
        <f t="shared" si="5"/>
        <v>70388.050102123205</v>
      </c>
    </row>
    <row r="82" spans="1:11" x14ac:dyDescent="0.25">
      <c r="A82" s="9">
        <v>2012</v>
      </c>
      <c r="B82" s="9">
        <v>3</v>
      </c>
      <c r="C82" s="136">
        <v>2.3E-2</v>
      </c>
      <c r="D82" s="136">
        <f t="shared" si="2"/>
        <v>2.264E-2</v>
      </c>
      <c r="E82" s="141">
        <v>136306</v>
      </c>
      <c r="F82" s="136">
        <v>3.0599999999999999E-2</v>
      </c>
      <c r="G82" s="165">
        <v>-9.1999999999999998E-3</v>
      </c>
      <c r="H82" s="154"/>
      <c r="I82" s="136">
        <f>(0.2*(G82))  +  (0.8*(F82-F82*'TAX reduces gains by'!$Y$21))</f>
        <v>1.7743999999999999E-2</v>
      </c>
      <c r="J82" s="135">
        <f t="shared" si="4"/>
        <v>67055.050102123205</v>
      </c>
      <c r="K82" s="6">
        <f t="shared" si="5"/>
        <v>68244.874911135281</v>
      </c>
    </row>
    <row r="83" spans="1:11" x14ac:dyDescent="0.25">
      <c r="A83" s="9">
        <v>2012</v>
      </c>
      <c r="B83" s="9">
        <v>4</v>
      </c>
      <c r="C83" s="136">
        <v>1.44E-2</v>
      </c>
      <c r="D83" s="136">
        <f t="shared" si="2"/>
        <v>1.4320000000000001E-2</v>
      </c>
      <c r="E83" s="141">
        <v>134937</v>
      </c>
      <c r="F83" s="136">
        <v>1.5100000000000001E-2</v>
      </c>
      <c r="G83" s="136">
        <v>1.12E-2</v>
      </c>
      <c r="H83" s="154"/>
      <c r="I83" s="136">
        <f>(0.2*(G83-G83*'TAX reduces gains by'!$Y$22))  +  (0.8*(F83-F83*'TAX reduces gains by'!$Y$21))</f>
        <v>1.1613019607843137E-2</v>
      </c>
      <c r="J83" s="135">
        <f t="shared" si="4"/>
        <v>64911.874911135281</v>
      </c>
      <c r="K83" s="6">
        <f t="shared" si="5"/>
        <v>65665.697787260156</v>
      </c>
    </row>
    <row r="84" spans="1:11" x14ac:dyDescent="0.25">
      <c r="A84" s="9">
        <v>2012</v>
      </c>
      <c r="B84" s="9">
        <v>5</v>
      </c>
      <c r="C84" s="136">
        <v>-4.5699999999999998E-2</v>
      </c>
      <c r="D84" s="136">
        <f t="shared" si="2"/>
        <v>-4.4620000000000007E-2</v>
      </c>
      <c r="E84" s="141">
        <v>125437</v>
      </c>
      <c r="F84" s="165">
        <v>-5.7500000000000002E-2</v>
      </c>
      <c r="G84" s="136">
        <v>6.8999999999999999E-3</v>
      </c>
      <c r="H84" s="154"/>
      <c r="I84" s="136">
        <f>(0.2*(G84-G84*'TAX reduces gains by'!$Y$22))  +  (0.8*(F84))</f>
        <v>-4.4799264705882358E-2</v>
      </c>
      <c r="J84" s="135">
        <f t="shared" si="4"/>
        <v>62332.697787260156</v>
      </c>
      <c r="K84" s="6">
        <f t="shared" si="5"/>
        <v>59540.238759256921</v>
      </c>
    </row>
    <row r="85" spans="1:11" x14ac:dyDescent="0.25">
      <c r="A85" s="9">
        <v>2012</v>
      </c>
      <c r="B85" s="9">
        <v>6</v>
      </c>
      <c r="C85" s="136">
        <v>5.74E-2</v>
      </c>
      <c r="D85" s="136">
        <f t="shared" si="2"/>
        <v>5.6860000000000001E-2</v>
      </c>
      <c r="E85" s="141">
        <v>129298</v>
      </c>
      <c r="F85" s="136">
        <v>7.1499999999999994E-2</v>
      </c>
      <c r="G85" s="136">
        <v>-1.6999999999999999E-3</v>
      </c>
      <c r="H85" s="154"/>
      <c r="I85" s="136">
        <f>(0.2*(G85-G85*'TAX reduces gains by'!$Y$22))  +  (0.8*(F85-F85*'TAX reduces gains by'!$Y$21))</f>
        <v>4.546416666666666E-2</v>
      </c>
      <c r="J85" s="135">
        <f t="shared" si="4"/>
        <v>56207.238759256921</v>
      </c>
      <c r="K85" s="6">
        <f t="shared" si="5"/>
        <v>58762.654030080907</v>
      </c>
    </row>
    <row r="86" spans="1:11" x14ac:dyDescent="0.25">
      <c r="A86" s="9">
        <v>2012</v>
      </c>
      <c r="B86" s="9">
        <v>7</v>
      </c>
      <c r="C86" s="136">
        <v>3.5200000000000002E-2</v>
      </c>
      <c r="D86" s="136">
        <f t="shared" si="2"/>
        <v>3.4779999999999998E-2</v>
      </c>
      <c r="E86" s="141">
        <v>130515</v>
      </c>
      <c r="F86" s="136">
        <v>0.04</v>
      </c>
      <c r="G86" s="136">
        <v>1.3899999999999999E-2</v>
      </c>
      <c r="H86" s="154"/>
      <c r="I86" s="136">
        <f>(0.2*(G86-G86*'TAX reduces gains by'!$Y$22))  +  (0.8*(F86-F86*'TAX reduces gains by'!$Y$21))</f>
        <v>2.8018872549019608E-2</v>
      </c>
      <c r="J86" s="135">
        <f t="shared" si="4"/>
        <v>55429.654030080907</v>
      </c>
      <c r="K86" s="6">
        <f t="shared" si="5"/>
        <v>56982.730441785992</v>
      </c>
    </row>
    <row r="87" spans="1:11" x14ac:dyDescent="0.25">
      <c r="A87" s="9">
        <v>2012</v>
      </c>
      <c r="B87" s="9">
        <v>8</v>
      </c>
      <c r="C87" s="136">
        <v>-3.7100000000000001E-2</v>
      </c>
      <c r="D87" s="136">
        <f t="shared" si="2"/>
        <v>-3.6120000000000006E-2</v>
      </c>
      <c r="E87" s="141">
        <v>122340</v>
      </c>
      <c r="F87" s="165">
        <v>-4.5600000000000002E-2</v>
      </c>
      <c r="G87" s="136">
        <v>1.8E-3</v>
      </c>
      <c r="H87" s="154"/>
      <c r="I87" s="136">
        <f>(0.2*(G87-G87*'TAX reduces gains by'!$Y$22))  +  (0.8*(F87))</f>
        <v>-3.6166764705882357E-2</v>
      </c>
      <c r="J87" s="135">
        <f t="shared" si="4"/>
        <v>53649.730441785992</v>
      </c>
      <c r="K87" s="6">
        <f t="shared" si="5"/>
        <v>51709.393264363905</v>
      </c>
    </row>
    <row r="88" spans="1:11" x14ac:dyDescent="0.25">
      <c r="A88" s="9">
        <v>2012</v>
      </c>
      <c r="B88" s="9">
        <v>9</v>
      </c>
      <c r="C88" s="136">
        <v>-4.2000000000000003E-2</v>
      </c>
      <c r="D88" s="136">
        <f t="shared" si="2"/>
        <v>-4.1160000000000002E-2</v>
      </c>
      <c r="E88" s="141">
        <v>113874</v>
      </c>
      <c r="F88" s="165">
        <v>-5.3100000000000001E-2</v>
      </c>
      <c r="G88" s="136">
        <v>6.6E-3</v>
      </c>
      <c r="H88" s="154"/>
      <c r="I88" s="136">
        <f>(0.2*(G88-G88*'TAX reduces gains by'!$Y$22))  +  (0.8*(F88))</f>
        <v>-4.1331470588235296E-2</v>
      </c>
      <c r="J88" s="135">
        <f t="shared" si="4"/>
        <v>48376.393264363905</v>
      </c>
      <c r="K88" s="6">
        <f t="shared" si="5"/>
        <v>46376.925788992943</v>
      </c>
    </row>
    <row r="89" spans="1:11" x14ac:dyDescent="0.25">
      <c r="A89" s="9">
        <v>2012</v>
      </c>
      <c r="B89" s="9">
        <v>10</v>
      </c>
      <c r="C89" s="136">
        <v>-9.6600000000000005E-2</v>
      </c>
      <c r="D89" s="136">
        <f t="shared" si="2"/>
        <v>-9.604E-2</v>
      </c>
      <c r="E89" s="141">
        <v>99544</v>
      </c>
      <c r="F89" s="165">
        <v>-0.1205</v>
      </c>
      <c r="G89" s="136">
        <v>1.8E-3</v>
      </c>
      <c r="H89" s="154"/>
      <c r="I89" s="136">
        <f>(0.2*(G89-G89*'TAX reduces gains by'!$Y$22))  +  (0.8*(F89))</f>
        <v>-9.6086764705882358E-2</v>
      </c>
      <c r="J89" s="135">
        <f t="shared" si="4"/>
        <v>43043.925788992943</v>
      </c>
      <c r="K89" s="6">
        <f t="shared" si="5"/>
        <v>38907.97421968852</v>
      </c>
    </row>
    <row r="90" spans="1:11" x14ac:dyDescent="0.25">
      <c r="A90" s="9">
        <v>2012</v>
      </c>
      <c r="B90" s="9">
        <v>11</v>
      </c>
      <c r="C90" s="136">
        <v>4.2900000000000001E-2</v>
      </c>
      <c r="D90" s="136">
        <f t="shared" si="2"/>
        <v>4.3459999999999999E-2</v>
      </c>
      <c r="E90" s="141">
        <v>100479</v>
      </c>
      <c r="F90" s="136">
        <v>5.0599999999999999E-2</v>
      </c>
      <c r="G90" s="136">
        <v>1.49E-2</v>
      </c>
      <c r="H90" s="154"/>
      <c r="I90" s="136">
        <f>(0.2*(G90-G90*'TAX reduces gains by'!$Y$22))  +  (0.8*(F90-F90*'TAX reduces gains by'!$Y$21))</f>
        <v>3.4976892156862747E-2</v>
      </c>
      <c r="J90" s="135">
        <f t="shared" si="4"/>
        <v>35574.97421968852</v>
      </c>
      <c r="K90" s="6">
        <f t="shared" si="5"/>
        <v>36819.276256453741</v>
      </c>
    </row>
    <row r="91" spans="1:11" x14ac:dyDescent="0.25">
      <c r="A91" s="156">
        <v>2012</v>
      </c>
      <c r="B91" s="156">
        <v>12</v>
      </c>
      <c r="C91" s="157">
        <v>4.7500000000000001E-2</v>
      </c>
      <c r="D91" s="136">
        <f t="shared" si="2"/>
        <v>4.8340000000000001E-2</v>
      </c>
      <c r="E91" s="158">
        <v>101919</v>
      </c>
      <c r="F91" s="157">
        <v>6.3399999999999998E-2</v>
      </c>
      <c r="G91" s="165">
        <v>-1.1900000000000001E-2</v>
      </c>
      <c r="H91" s="154"/>
      <c r="I91" s="136">
        <f>(0.2*(G91))  +  (0.8*(F91-F91*'TAX reduces gains by'!$Y$21))</f>
        <v>3.8196000000000001E-2</v>
      </c>
      <c r="J91" s="135">
        <f t="shared" si="4"/>
        <v>33486.276256453741</v>
      </c>
      <c r="K91" s="109">
        <f t="shared" si="5"/>
        <v>34765.318064345251</v>
      </c>
    </row>
    <row r="92" spans="1:11" x14ac:dyDescent="0.25">
      <c r="A92" s="159" t="s">
        <v>21</v>
      </c>
      <c r="B92" s="159"/>
      <c r="C92" s="159"/>
      <c r="D92" s="136">
        <f t="shared" si="2"/>
        <v>0</v>
      </c>
      <c r="E92" s="159"/>
      <c r="F92" s="159"/>
      <c r="H92" s="87"/>
    </row>
    <row r="93" spans="1:11" ht="75" x14ac:dyDescent="0.25">
      <c r="A93" s="159" t="s">
        <v>0</v>
      </c>
      <c r="B93" s="159" t="s">
        <v>18</v>
      </c>
      <c r="C93" s="160" t="s">
        <v>2</v>
      </c>
      <c r="D93" s="136" t="e">
        <f t="shared" si="2"/>
        <v>#VALUE!</v>
      </c>
      <c r="E93" s="161" t="s">
        <v>3</v>
      </c>
      <c r="F93" s="192" t="s">
        <v>95</v>
      </c>
      <c r="G93" s="193" t="s">
        <v>35</v>
      </c>
      <c r="H93" s="194" t="s">
        <v>36</v>
      </c>
      <c r="J93" t="s">
        <v>36</v>
      </c>
      <c r="K93"/>
    </row>
    <row r="94" spans="1:11" x14ac:dyDescent="0.25">
      <c r="A94" s="159" t="s">
        <v>20</v>
      </c>
      <c r="B94" s="159"/>
      <c r="C94" s="160"/>
      <c r="D94" s="136">
        <f t="shared" si="2"/>
        <v>0</v>
      </c>
      <c r="E94" s="161"/>
      <c r="F94" s="160"/>
      <c r="G94" s="136"/>
      <c r="H94" s="136"/>
      <c r="J94">
        <v>200000</v>
      </c>
      <c r="K94"/>
    </row>
    <row r="95" spans="1:11" x14ac:dyDescent="0.25">
      <c r="A95" s="159"/>
      <c r="B95" s="159"/>
      <c r="C95" s="160">
        <f>AVERAGE(C96:C155)</f>
        <v>1.2276666666666663E-2</v>
      </c>
      <c r="D95" s="160">
        <f>AVERAGE(D96:D155)</f>
        <v>1.2310333333333335E-2</v>
      </c>
      <c r="E95" s="161"/>
      <c r="F95" s="160"/>
      <c r="G95" s="136"/>
      <c r="H95" s="154"/>
      <c r="I95" s="160">
        <f>AVERAGE(I96:I155)</f>
        <v>8.1308642156862759E-3</v>
      </c>
      <c r="J95">
        <v>3333</v>
      </c>
      <c r="K95"/>
    </row>
    <row r="96" spans="1:11" x14ac:dyDescent="0.25">
      <c r="A96" s="159">
        <v>2015</v>
      </c>
      <c r="B96" s="159">
        <v>1</v>
      </c>
      <c r="C96" s="160">
        <v>8.3099999999999993E-2</v>
      </c>
      <c r="D96" s="136">
        <f t="shared" si="2"/>
        <v>8.3180000000000004E-2</v>
      </c>
      <c r="E96" s="161">
        <v>213295</v>
      </c>
      <c r="F96" s="185">
        <v>0.1002</v>
      </c>
      <c r="G96" s="185">
        <v>1.5100000000000001E-2</v>
      </c>
      <c r="H96" s="154"/>
      <c r="I96" s="136">
        <f>(0.2*(G96-G96*'TAX reduces gains by'!$Y$22))  +  (0.8*(F96-F96*'TAX reduces gains by'!$Y$21))</f>
        <v>6.6755696078431376E-2</v>
      </c>
      <c r="J96">
        <f>J94-J95</f>
        <v>196667</v>
      </c>
      <c r="K96" s="6">
        <f>J96+(J96*I96)</f>
        <v>209795.64248065685</v>
      </c>
    </row>
    <row r="97" spans="1:11" x14ac:dyDescent="0.25">
      <c r="A97" s="159">
        <v>2015</v>
      </c>
      <c r="B97" s="159">
        <v>2</v>
      </c>
      <c r="C97" s="160">
        <v>-7.4899999999999994E-2</v>
      </c>
      <c r="D97" s="136">
        <f t="shared" si="2"/>
        <v>-7.3840000000000003E-2</v>
      </c>
      <c r="E97" s="161">
        <v>193992</v>
      </c>
      <c r="F97" s="186">
        <v>-8.9899999999999994E-2</v>
      </c>
      <c r="G97" s="186">
        <v>-9.5999999999999992E-3</v>
      </c>
      <c r="H97" s="154"/>
      <c r="I97" s="136">
        <f>(0.2*(G97))  +  (0.8*(F97))</f>
        <v>-7.3840000000000003E-2</v>
      </c>
      <c r="J97" s="135">
        <f>K96-$J$31</f>
        <v>206462.64248065685</v>
      </c>
      <c r="K97" s="6">
        <f t="shared" ref="K97:K103" si="6">J97+(J97*I97)</f>
        <v>191217.44095988516</v>
      </c>
    </row>
    <row r="98" spans="1:11" x14ac:dyDescent="0.25">
      <c r="A98" s="159">
        <v>2015</v>
      </c>
      <c r="B98" s="159">
        <v>3</v>
      </c>
      <c r="C98" s="160">
        <v>5.8999999999999999E-3</v>
      </c>
      <c r="D98" s="136">
        <f t="shared" ref="D98:D156" si="7">0.2*G98+0.8*F98</f>
        <v>5.9400000000000008E-3</v>
      </c>
      <c r="E98" s="161">
        <v>191806</v>
      </c>
      <c r="F98" s="185">
        <v>6.7999999999999996E-3</v>
      </c>
      <c r="G98" s="185">
        <v>2.5000000000000001E-3</v>
      </c>
      <c r="H98" s="154"/>
      <c r="I98" s="136">
        <f>(0.2*(G98-G98*'TAX reduces gains by'!$Y$22))  +  (0.8*(F98-F98*'TAX reduces gains by'!$Y$21))</f>
        <v>4.7870490196078429E-3</v>
      </c>
      <c r="J98" s="135">
        <f t="shared" ref="J98:J156" si="8">K97-$J$31</f>
        <v>187884.44095988516</v>
      </c>
      <c r="K98" s="6">
        <f t="shared" si="6"/>
        <v>188783.85298878176</v>
      </c>
    </row>
    <row r="99" spans="1:11" x14ac:dyDescent="0.25">
      <c r="A99" s="159">
        <v>2015</v>
      </c>
      <c r="B99" s="159">
        <v>4</v>
      </c>
      <c r="C99" s="160">
        <v>-3.1800000000000002E-2</v>
      </c>
      <c r="D99" s="136">
        <f t="shared" si="7"/>
        <v>-3.1879999999999999E-2</v>
      </c>
      <c r="E99" s="161">
        <v>182365</v>
      </c>
      <c r="F99" s="186">
        <v>-3.8699999999999998E-2</v>
      </c>
      <c r="G99" s="186">
        <v>-4.5999999999999999E-3</v>
      </c>
      <c r="H99" s="154"/>
      <c r="I99" s="136">
        <f>(0.2*(G99))  +  (0.8*(F99))</f>
        <v>-3.1879999999999999E-2</v>
      </c>
      <c r="J99" s="135">
        <f t="shared" si="8"/>
        <v>185450.85298878176</v>
      </c>
      <c r="K99" s="6">
        <f t="shared" si="6"/>
        <v>179538.6797954994</v>
      </c>
    </row>
    <row r="100" spans="1:11" x14ac:dyDescent="0.25">
      <c r="A100" s="159">
        <v>2015</v>
      </c>
      <c r="B100" s="159">
        <v>5</v>
      </c>
      <c r="C100" s="160">
        <v>3.2300000000000002E-2</v>
      </c>
      <c r="D100" s="136">
        <f t="shared" si="7"/>
        <v>3.2579999999999998E-2</v>
      </c>
      <c r="E100" s="161">
        <v>184923</v>
      </c>
      <c r="F100" s="185">
        <v>4.1500000000000002E-2</v>
      </c>
      <c r="G100" s="186">
        <v>-3.0999999999999999E-3</v>
      </c>
      <c r="H100" s="154"/>
      <c r="I100" s="136">
        <f>(0.2*(G100))  +  (0.8*(F100-F100*'TAX reduces gains by'!$Y$21))</f>
        <v>2.5940000000000001E-2</v>
      </c>
      <c r="J100" s="135">
        <f t="shared" si="8"/>
        <v>176205.6797954994</v>
      </c>
      <c r="K100" s="6">
        <f t="shared" si="6"/>
        <v>180776.45512939466</v>
      </c>
    </row>
    <row r="101" spans="1:11" x14ac:dyDescent="0.25">
      <c r="A101" s="159">
        <v>2015</v>
      </c>
      <c r="B101" s="159">
        <v>6</v>
      </c>
      <c r="C101" s="160">
        <v>1.8100000000000002E-2</v>
      </c>
      <c r="D101" s="136">
        <f t="shared" si="7"/>
        <v>1.8099999999999998E-2</v>
      </c>
      <c r="E101" s="161">
        <v>184935</v>
      </c>
      <c r="F101" s="185">
        <v>2.29E-2</v>
      </c>
      <c r="G101" s="186">
        <v>-1.1000000000000001E-3</v>
      </c>
      <c r="H101" s="154"/>
      <c r="I101" s="136">
        <f>(0.2*(G101))  +  (0.8*(F101-F101*'TAX reduces gains by'!$Y$21))</f>
        <v>1.4436000000000001E-2</v>
      </c>
      <c r="J101" s="135">
        <f t="shared" si="8"/>
        <v>177443.45512939466</v>
      </c>
      <c r="K101" s="6">
        <f t="shared" si="6"/>
        <v>180005.02884764259</v>
      </c>
    </row>
    <row r="102" spans="1:11" x14ac:dyDescent="0.25">
      <c r="A102" s="159">
        <v>2015</v>
      </c>
      <c r="B102" s="159">
        <v>7</v>
      </c>
      <c r="C102" s="160">
        <v>-2.7799999999999998E-2</v>
      </c>
      <c r="D102" s="136">
        <f t="shared" si="7"/>
        <v>-2.7540000000000002E-2</v>
      </c>
      <c r="E102" s="161">
        <v>176463</v>
      </c>
      <c r="F102" s="186">
        <v>-3.61E-2</v>
      </c>
      <c r="G102" s="185">
        <v>6.7000000000000002E-3</v>
      </c>
      <c r="H102" s="154"/>
      <c r="I102" s="136">
        <f>(0.2*(G102-G102*'TAX reduces gains by'!$Y$22))  +  (0.8*(F102))</f>
        <v>-2.7714068627450985E-2</v>
      </c>
      <c r="J102" s="135">
        <f t="shared" si="8"/>
        <v>176672.02884764259</v>
      </c>
      <c r="K102" s="6">
        <f t="shared" si="6"/>
        <v>171775.72811560801</v>
      </c>
    </row>
    <row r="103" spans="1:11" x14ac:dyDescent="0.25">
      <c r="A103" s="159">
        <v>2015</v>
      </c>
      <c r="B103" s="159">
        <v>8</v>
      </c>
      <c r="C103" s="160">
        <v>-1.1299999999999999E-2</v>
      </c>
      <c r="D103" s="136">
        <f t="shared" si="7"/>
        <v>-1.1360000000000002E-2</v>
      </c>
      <c r="E103" s="161">
        <v>171135</v>
      </c>
      <c r="F103" s="186">
        <v>-1.4800000000000001E-2</v>
      </c>
      <c r="G103" s="185">
        <v>2.3999999999999998E-3</v>
      </c>
      <c r="H103" s="154"/>
      <c r="I103" s="136">
        <f>(0.2*(G103-G103*'TAX reduces gains by'!$Y$22))  +  (0.8*(F103))</f>
        <v>-1.1422352941176472E-2</v>
      </c>
      <c r="J103" s="135">
        <f t="shared" si="8"/>
        <v>168442.72811560801</v>
      </c>
      <c r="K103" s="6">
        <f t="shared" si="6"/>
        <v>166518.7158246969</v>
      </c>
    </row>
    <row r="104" spans="1:11" x14ac:dyDescent="0.25">
      <c r="A104" s="159">
        <v>2015</v>
      </c>
      <c r="B104" s="159">
        <v>9</v>
      </c>
      <c r="C104" s="160">
        <v>3.78E-2</v>
      </c>
      <c r="D104" s="136">
        <f t="shared" si="7"/>
        <v>3.7960000000000001E-2</v>
      </c>
      <c r="E104" s="161">
        <v>174268</v>
      </c>
      <c r="F104" s="185">
        <v>4.58E-2</v>
      </c>
      <c r="G104" s="185">
        <v>6.6E-3</v>
      </c>
      <c r="H104" s="154"/>
      <c r="I104" s="136">
        <f>(0.2*(G104-G104*'TAX reduces gains by'!$Y$22))  +  (0.8*(F104-F104*'TAX reduces gains by'!$Y$21))</f>
        <v>3.0460529411764706E-2</v>
      </c>
      <c r="J104" s="135">
        <f t="shared" si="8"/>
        <v>163185.7158246969</v>
      </c>
      <c r="K104" s="6">
        <f t="shared" ref="K104:K156" si="9">J104+(J104*I104)</f>
        <v>168156.43912115495</v>
      </c>
    </row>
    <row r="105" spans="1:11" x14ac:dyDescent="0.25">
      <c r="A105" s="159">
        <v>2015</v>
      </c>
      <c r="B105" s="159">
        <v>10</v>
      </c>
      <c r="C105" s="160">
        <v>0.10680000000000001</v>
      </c>
      <c r="D105" s="136">
        <f t="shared" si="7"/>
        <v>0.1066</v>
      </c>
      <c r="E105" s="161">
        <v>189542</v>
      </c>
      <c r="F105" s="185">
        <v>0.1323</v>
      </c>
      <c r="G105" s="185">
        <v>3.8E-3</v>
      </c>
      <c r="H105" s="154"/>
      <c r="I105" s="136">
        <f>(0.2*(G105-G105*'TAX reduces gains by'!$Y$22))  +  (0.8*(F105-F105*'TAX reduces gains by'!$Y$21))</f>
        <v>8.5333274509803936E-2</v>
      </c>
      <c r="J105" s="135">
        <f t="shared" si="8"/>
        <v>164823.43912115495</v>
      </c>
      <c r="K105" s="6">
        <f t="shared" si="9"/>
        <v>178888.36289733043</v>
      </c>
    </row>
    <row r="106" spans="1:11" x14ac:dyDescent="0.25">
      <c r="A106" s="159">
        <v>2015</v>
      </c>
      <c r="B106" s="159">
        <v>11</v>
      </c>
      <c r="C106" s="160">
        <v>-0.02</v>
      </c>
      <c r="D106" s="136">
        <f t="shared" si="7"/>
        <v>-1.9400000000000004E-2</v>
      </c>
      <c r="E106" s="161">
        <v>182425</v>
      </c>
      <c r="F106" s="186">
        <v>-2.5000000000000001E-2</v>
      </c>
      <c r="G106" s="185">
        <v>3.0000000000000001E-3</v>
      </c>
      <c r="H106" s="154"/>
      <c r="I106" s="136">
        <f>(0.2*(G106-G106*'TAX reduces gains by'!$Y$22))  +  (0.8*(F106))</f>
        <v>-1.9477941176470594E-2</v>
      </c>
      <c r="J106" s="135">
        <f t="shared" si="8"/>
        <v>175555.36289733043</v>
      </c>
      <c r="K106" s="6">
        <f t="shared" si="9"/>
        <v>172135.90586560228</v>
      </c>
    </row>
    <row r="107" spans="1:11" x14ac:dyDescent="0.25">
      <c r="A107" s="159">
        <v>2015</v>
      </c>
      <c r="B107" s="159">
        <v>12</v>
      </c>
      <c r="C107" s="160">
        <v>5.1299999999999998E-2</v>
      </c>
      <c r="D107" s="136">
        <f t="shared" si="7"/>
        <v>5.0440000000000006E-2</v>
      </c>
      <c r="E107" s="161">
        <v>188456</v>
      </c>
      <c r="F107" s="185">
        <v>6.1400000000000003E-2</v>
      </c>
      <c r="G107" s="185">
        <v>6.6E-3</v>
      </c>
      <c r="H107" s="154"/>
      <c r="I107" s="136">
        <f>(0.2*(G107-G107*'TAX reduces gains by'!$Y$22))  +  (0.8*(F107-F107*'TAX reduces gains by'!$Y$21))</f>
        <v>4.0444529411764713E-2</v>
      </c>
      <c r="J107" s="135">
        <f t="shared" si="8"/>
        <v>168802.90586560228</v>
      </c>
      <c r="K107" s="6">
        <f t="shared" si="9"/>
        <v>175630.05995667499</v>
      </c>
    </row>
    <row r="108" spans="1:11" x14ac:dyDescent="0.25">
      <c r="A108" s="159">
        <v>2016</v>
      </c>
      <c r="B108" s="159">
        <v>1</v>
      </c>
      <c r="C108" s="160">
        <v>4.9799999999999997E-2</v>
      </c>
      <c r="D108" s="136">
        <f t="shared" si="7"/>
        <v>4.9779999999999998E-2</v>
      </c>
      <c r="E108" s="161">
        <v>194501</v>
      </c>
      <c r="F108" s="185">
        <v>5.8999999999999997E-2</v>
      </c>
      <c r="G108" s="185">
        <v>1.29E-2</v>
      </c>
      <c r="H108" s="154"/>
      <c r="I108" s="136">
        <f>(0.2*(G108-G108*'TAX reduces gains by'!$Y$22))  +  (0.8*(F108-F108*'TAX reduces gains by'!$Y$21))</f>
        <v>4.0004852941176471E-2</v>
      </c>
      <c r="J108" s="135">
        <f t="shared" si="8"/>
        <v>172297.05995667499</v>
      </c>
      <c r="K108" s="6">
        <f t="shared" si="9"/>
        <v>179189.77850243883</v>
      </c>
    </row>
    <row r="109" spans="1:11" x14ac:dyDescent="0.25">
      <c r="A109" s="159">
        <v>2016</v>
      </c>
      <c r="B109" s="159">
        <v>2</v>
      </c>
      <c r="C109" s="160">
        <v>-1.0200000000000001E-2</v>
      </c>
      <c r="D109" s="136">
        <f t="shared" si="7"/>
        <v>-1.0060000000000001E-2</v>
      </c>
      <c r="E109" s="161">
        <v>189192</v>
      </c>
      <c r="F109" s="186">
        <v>-1.26E-2</v>
      </c>
      <c r="G109" s="185">
        <v>1E-4</v>
      </c>
      <c r="H109" s="154"/>
      <c r="I109" s="136">
        <f>(0.2*(G109-G109*'TAX reduces gains by'!$Y$22))  +  (0.8*(F109))</f>
        <v>-1.0062598039215687E-2</v>
      </c>
      <c r="J109" s="135">
        <f t="shared" si="8"/>
        <v>175856.77850243883</v>
      </c>
      <c r="K109" s="6">
        <f t="shared" si="9"/>
        <v>174087.2024278974</v>
      </c>
    </row>
    <row r="110" spans="1:11" x14ac:dyDescent="0.25">
      <c r="A110" s="159">
        <v>2016</v>
      </c>
      <c r="B110" s="159">
        <v>3</v>
      </c>
      <c r="C110" s="160">
        <v>0.10580000000000001</v>
      </c>
      <c r="D110" s="136">
        <f t="shared" si="7"/>
        <v>0.10508000000000001</v>
      </c>
      <c r="E110" s="161">
        <v>205868</v>
      </c>
      <c r="F110" s="185">
        <v>0.13059999999999999</v>
      </c>
      <c r="G110" s="185">
        <v>3.0000000000000001E-3</v>
      </c>
      <c r="H110" s="154"/>
      <c r="I110" s="136">
        <f>(0.2*(G110-G110*'TAX reduces gains by'!$Y$22))  +  (0.8*(F110-F110*'TAX reduces gains by'!$Y$21))</f>
        <v>8.4106058823529409E-2</v>
      </c>
      <c r="J110" s="135">
        <f t="shared" si="8"/>
        <v>170754.2024278974</v>
      </c>
      <c r="K110" s="6">
        <f t="shared" si="9"/>
        <v>185115.665421663</v>
      </c>
    </row>
    <row r="111" spans="1:11" x14ac:dyDescent="0.25">
      <c r="A111" s="159">
        <v>2016</v>
      </c>
      <c r="B111" s="159">
        <v>4</v>
      </c>
      <c r="C111" s="160">
        <v>-3.5999999999999999E-3</v>
      </c>
      <c r="D111" s="136">
        <f t="shared" si="7"/>
        <v>-3.3600000000000001E-3</v>
      </c>
      <c r="E111" s="161">
        <v>201792</v>
      </c>
      <c r="F111" s="186">
        <v>-5.7999999999999996E-3</v>
      </c>
      <c r="G111" s="185">
        <v>6.4000000000000003E-3</v>
      </c>
      <c r="H111" s="154"/>
      <c r="I111" s="136">
        <f>(0.2*(G111-G111*'TAX reduces gains by'!$Y$22))  +  (0.8*(F111))</f>
        <v>-3.5262745098039215E-3</v>
      </c>
      <c r="J111" s="135">
        <f t="shared" si="8"/>
        <v>181782.665421663</v>
      </c>
      <c r="K111" s="6">
        <f t="shared" si="9"/>
        <v>181141.64984226238</v>
      </c>
    </row>
    <row r="112" spans="1:11" x14ac:dyDescent="0.25">
      <c r="A112" s="159">
        <v>2016</v>
      </c>
      <c r="B112" s="159">
        <v>5</v>
      </c>
      <c r="C112" s="160">
        <v>6.9900000000000004E-2</v>
      </c>
      <c r="D112" s="136">
        <f t="shared" si="7"/>
        <v>6.8100000000000008E-2</v>
      </c>
      <c r="E112" s="161">
        <v>212563</v>
      </c>
      <c r="F112" s="185">
        <v>8.4900000000000003E-2</v>
      </c>
      <c r="G112" s="185">
        <v>8.9999999999999998E-4</v>
      </c>
      <c r="H112" s="154"/>
      <c r="I112" s="136">
        <f>(0.2*(G112-G112*'TAX reduces gains by'!$Y$22))  +  (0.8*(F112-F112*'TAX reduces gains by'!$Y$21))</f>
        <v>5.449261764705883E-2</v>
      </c>
      <c r="J112" s="135">
        <f t="shared" si="8"/>
        <v>177808.64984226238</v>
      </c>
      <c r="K112" s="6">
        <f t="shared" si="9"/>
        <v>187497.90861245655</v>
      </c>
    </row>
    <row r="113" spans="1:11" x14ac:dyDescent="0.25">
      <c r="A113" s="159">
        <v>2016</v>
      </c>
      <c r="B113" s="159">
        <v>6</v>
      </c>
      <c r="C113" s="160">
        <v>0.1288</v>
      </c>
      <c r="D113" s="136">
        <f t="shared" si="7"/>
        <v>0.12432000000000001</v>
      </c>
      <c r="E113" s="161">
        <v>236617</v>
      </c>
      <c r="F113" s="185">
        <v>0.15190000000000001</v>
      </c>
      <c r="G113" s="185">
        <v>1.4E-2</v>
      </c>
      <c r="H113" s="154"/>
      <c r="I113" s="136">
        <f>(0.2*(G113-G113*'TAX reduces gains by'!$Y$22))  +  (0.8*(F113-F113*'TAX reduces gains by'!$Y$21))</f>
        <v>9.9652274509803934E-2</v>
      </c>
      <c r="J113" s="135">
        <f t="shared" si="8"/>
        <v>184164.90861245655</v>
      </c>
      <c r="K113" s="6">
        <f t="shared" si="9"/>
        <v>202517.36064057803</v>
      </c>
    </row>
    <row r="114" spans="1:11" x14ac:dyDescent="0.25">
      <c r="A114" s="159">
        <v>2016</v>
      </c>
      <c r="B114" s="159">
        <v>7</v>
      </c>
      <c r="C114" s="160">
        <v>-3.5400000000000001E-2</v>
      </c>
      <c r="D114" s="136">
        <f t="shared" si="7"/>
        <v>-3.338E-2</v>
      </c>
      <c r="E114" s="161">
        <v>224908</v>
      </c>
      <c r="F114" s="186">
        <v>-4.1599999999999998E-2</v>
      </c>
      <c r="G114" s="186">
        <v>-5.0000000000000001E-4</v>
      </c>
      <c r="H114" s="154"/>
      <c r="I114" s="136">
        <f>(0.2*(G114))  +  (0.8*(F114))</f>
        <v>-3.338E-2</v>
      </c>
      <c r="J114" s="135">
        <f t="shared" si="8"/>
        <v>199184.36064057803</v>
      </c>
      <c r="K114" s="6">
        <f t="shared" si="9"/>
        <v>192535.58668239554</v>
      </c>
    </row>
    <row r="115" spans="1:11" x14ac:dyDescent="0.25">
      <c r="A115" s="159">
        <v>2016</v>
      </c>
      <c r="B115" s="159">
        <v>8</v>
      </c>
      <c r="C115" s="160">
        <v>-4.3200000000000002E-2</v>
      </c>
      <c r="D115" s="136">
        <f t="shared" si="7"/>
        <v>-4.0820000000000002E-2</v>
      </c>
      <c r="E115" s="161">
        <v>211865</v>
      </c>
      <c r="F115" s="186">
        <v>-5.1400000000000001E-2</v>
      </c>
      <c r="G115" s="185">
        <v>1.5E-3</v>
      </c>
      <c r="H115" s="154"/>
      <c r="I115" s="136">
        <f>(0.2*(G115-G115*'TAX reduces gains by'!$Y$22))  +  (0.8*(F115))</f>
        <v>-4.0858970588235295E-2</v>
      </c>
      <c r="J115" s="135">
        <f t="shared" si="8"/>
        <v>189202.58668239554</v>
      </c>
      <c r="K115" s="6">
        <f t="shared" si="9"/>
        <v>181471.96375792151</v>
      </c>
    </row>
    <row r="116" spans="1:11" x14ac:dyDescent="0.25">
      <c r="A116" s="159">
        <v>2016</v>
      </c>
      <c r="B116" s="159">
        <v>9</v>
      </c>
      <c r="C116" s="160">
        <v>-9.4999999999999998E-3</v>
      </c>
      <c r="D116" s="136">
        <f t="shared" si="7"/>
        <v>-9.2800000000000001E-3</v>
      </c>
      <c r="E116" s="161">
        <v>206511</v>
      </c>
      <c r="F116" s="186">
        <v>-1.06E-2</v>
      </c>
      <c r="G116" s="186">
        <v>-4.0000000000000001E-3</v>
      </c>
      <c r="H116" s="154"/>
      <c r="I116" s="136">
        <f>(0.2*(G116))  +  (0.8*(F116))</f>
        <v>-9.2800000000000001E-3</v>
      </c>
      <c r="J116" s="135">
        <f t="shared" si="8"/>
        <v>178138.96375792151</v>
      </c>
      <c r="K116" s="6">
        <f t="shared" si="9"/>
        <v>176485.83417424798</v>
      </c>
    </row>
    <row r="117" spans="1:11" x14ac:dyDescent="0.25">
      <c r="A117" s="159">
        <v>2016</v>
      </c>
      <c r="B117" s="159">
        <v>10</v>
      </c>
      <c r="C117" s="160">
        <v>-3.3099999999999997E-2</v>
      </c>
      <c r="D117" s="136">
        <f t="shared" si="7"/>
        <v>-3.202E-2</v>
      </c>
      <c r="E117" s="161">
        <v>196342</v>
      </c>
      <c r="F117" s="186">
        <v>-3.7999999999999999E-2</v>
      </c>
      <c r="G117" s="186">
        <v>-8.0999999999999996E-3</v>
      </c>
      <c r="H117" s="154"/>
      <c r="I117" s="136">
        <f>(0.2*(G117))  +  (0.8*(F117))</f>
        <v>-3.202E-2</v>
      </c>
      <c r="J117" s="135">
        <f t="shared" si="8"/>
        <v>173152.83417424798</v>
      </c>
      <c r="K117" s="6">
        <f t="shared" si="9"/>
        <v>167608.48042398857</v>
      </c>
    </row>
    <row r="118" spans="1:11" x14ac:dyDescent="0.25">
      <c r="A118" s="159">
        <v>2016</v>
      </c>
      <c r="B118" s="159">
        <v>11</v>
      </c>
      <c r="C118" s="160">
        <v>-1.55E-2</v>
      </c>
      <c r="D118" s="136">
        <f t="shared" si="7"/>
        <v>-1.6280000000000003E-2</v>
      </c>
      <c r="E118" s="161">
        <v>189960</v>
      </c>
      <c r="F118" s="186">
        <v>-1.18E-2</v>
      </c>
      <c r="G118" s="186">
        <v>-3.4200000000000001E-2</v>
      </c>
      <c r="H118" s="154"/>
      <c r="I118" s="136">
        <f>(0.2*(G118))  +  (0.8*(F118))</f>
        <v>-1.6280000000000003E-2</v>
      </c>
      <c r="J118" s="135">
        <f t="shared" si="8"/>
        <v>164275.48042398857</v>
      </c>
      <c r="K118" s="6">
        <f t="shared" si="9"/>
        <v>161601.07560268603</v>
      </c>
    </row>
    <row r="119" spans="1:11" x14ac:dyDescent="0.25">
      <c r="A119" s="159">
        <v>2016</v>
      </c>
      <c r="B119" s="159">
        <v>12</v>
      </c>
      <c r="C119" s="160">
        <v>6.3299999999999995E-2</v>
      </c>
      <c r="D119" s="136">
        <f t="shared" si="7"/>
        <v>6.1039999999999997E-2</v>
      </c>
      <c r="E119" s="161">
        <v>198655</v>
      </c>
      <c r="F119" s="185">
        <v>7.3899999999999993E-2</v>
      </c>
      <c r="G119" s="185">
        <v>9.5999999999999992E-3</v>
      </c>
      <c r="H119" s="154"/>
      <c r="I119" s="136">
        <f>(0.2*(G119-G119*'TAX reduces gains by'!$Y$22))  +  (0.8*(F119-F119*'TAX reduces gains by'!$Y$21))</f>
        <v>4.8966588235294116E-2</v>
      </c>
      <c r="J119" s="135">
        <f t="shared" si="8"/>
        <v>158268.07560268603</v>
      </c>
      <c r="K119" s="6">
        <f t="shared" si="9"/>
        <v>166017.92329151515</v>
      </c>
    </row>
    <row r="120" spans="1:11" x14ac:dyDescent="0.25">
      <c r="A120" s="159">
        <v>2017</v>
      </c>
      <c r="B120" s="159">
        <v>1</v>
      </c>
      <c r="C120" s="160">
        <v>7.7299999999999994E-2</v>
      </c>
      <c r="D120" s="136">
        <f t="shared" si="7"/>
        <v>7.7380000000000004E-2</v>
      </c>
      <c r="E120" s="161">
        <v>210686</v>
      </c>
      <c r="F120" s="185">
        <v>9.5399999999999999E-2</v>
      </c>
      <c r="G120" s="185">
        <v>5.3E-3</v>
      </c>
      <c r="H120" s="154"/>
      <c r="I120" s="136">
        <f>(0.2*(G120-G120*'TAX reduces gains by'!$Y$22))  +  (0.8*(F120-F120*'TAX reduces gains by'!$Y$21))</f>
        <v>6.1978303921568625E-2</v>
      </c>
      <c r="J120" s="135">
        <f t="shared" si="8"/>
        <v>162684.92329151515</v>
      </c>
      <c r="K120" s="6">
        <f t="shared" si="9"/>
        <v>172767.85891073375</v>
      </c>
    </row>
    <row r="121" spans="1:11" x14ac:dyDescent="0.25">
      <c r="A121" s="159">
        <v>2017</v>
      </c>
      <c r="B121" s="159">
        <v>2</v>
      </c>
      <c r="C121" s="160">
        <v>3.8999999999999998E-3</v>
      </c>
      <c r="D121" s="136">
        <f t="shared" si="7"/>
        <v>3.8600000000000006E-3</v>
      </c>
      <c r="E121" s="161">
        <v>208167</v>
      </c>
      <c r="F121" s="185">
        <v>3.3999999999999998E-3</v>
      </c>
      <c r="G121" s="185">
        <v>5.7000000000000002E-3</v>
      </c>
      <c r="H121" s="154"/>
      <c r="I121" s="136">
        <f>(0.2*(G121-G121*'TAX reduces gains by'!$Y$22))  +  (0.8*(F121-F121*'TAX reduces gains by'!$Y$21))</f>
        <v>3.1679117647058822E-3</v>
      </c>
      <c r="J121" s="135">
        <f t="shared" si="8"/>
        <v>169434.85891073375</v>
      </c>
      <c r="K121" s="6">
        <f t="shared" si="9"/>
        <v>169971.61359362834</v>
      </c>
    </row>
    <row r="122" spans="1:11" x14ac:dyDescent="0.25">
      <c r="A122" s="159">
        <v>2017</v>
      </c>
      <c r="B122" s="159">
        <v>3</v>
      </c>
      <c r="C122" s="160">
        <v>-4.3E-3</v>
      </c>
      <c r="D122" s="136">
        <f t="shared" si="7"/>
        <v>-4.1800000000000006E-3</v>
      </c>
      <c r="E122" s="161">
        <v>203934</v>
      </c>
      <c r="F122" s="186">
        <v>-6.0000000000000001E-3</v>
      </c>
      <c r="G122" s="185">
        <v>3.0999999999999999E-3</v>
      </c>
      <c r="H122" s="154"/>
      <c r="I122" s="136">
        <f>(0.2*(G122-G122*'TAX reduces gains by'!$Y$22))  +  (0.8*(F122))</f>
        <v>-4.2605392156862751E-3</v>
      </c>
      <c r="J122" s="135">
        <f t="shared" si="8"/>
        <v>166638.61359362834</v>
      </c>
      <c r="K122" s="6">
        <f t="shared" si="9"/>
        <v>165928.64324556509</v>
      </c>
    </row>
    <row r="123" spans="1:11" x14ac:dyDescent="0.25">
      <c r="A123" s="159">
        <v>2017</v>
      </c>
      <c r="B123" s="159">
        <v>4</v>
      </c>
      <c r="C123" s="160">
        <v>6.5799999999999997E-2</v>
      </c>
      <c r="D123" s="136">
        <f t="shared" si="7"/>
        <v>6.498000000000001E-2</v>
      </c>
      <c r="E123" s="161">
        <v>214027</v>
      </c>
      <c r="F123" s="185">
        <v>7.9399999999999998E-2</v>
      </c>
      <c r="G123" s="185">
        <v>7.3000000000000001E-3</v>
      </c>
      <c r="H123" s="154"/>
      <c r="I123" s="136">
        <f>(0.2*(G123-G123*'TAX reduces gains by'!$Y$22))  +  (0.8*(F123-F123*'TAX reduces gains by'!$Y$21))</f>
        <v>5.2086343137254902E-2</v>
      </c>
      <c r="J123" s="135">
        <f t="shared" si="8"/>
        <v>162595.64324556509</v>
      </c>
      <c r="K123" s="6">
        <f t="shared" si="9"/>
        <v>171064.65571227629</v>
      </c>
    </row>
    <row r="124" spans="1:11" x14ac:dyDescent="0.25">
      <c r="A124" s="159">
        <v>2017</v>
      </c>
      <c r="B124" s="159">
        <v>5</v>
      </c>
      <c r="C124" s="160">
        <v>2.64E-2</v>
      </c>
      <c r="D124" s="136">
        <f t="shared" si="7"/>
        <v>2.6100000000000002E-2</v>
      </c>
      <c r="E124" s="161">
        <v>216349</v>
      </c>
      <c r="F124" s="185">
        <v>2.92E-2</v>
      </c>
      <c r="G124" s="185">
        <v>1.37E-2</v>
      </c>
      <c r="H124" s="154"/>
      <c r="I124" s="136">
        <f>(0.2*(G124-G124*'TAX reduces gains by'!$Y$22))  +  (0.8*(F124-F124*'TAX reduces gains by'!$Y$21))</f>
        <v>2.1072068627450979E-2</v>
      </c>
      <c r="J124" s="135">
        <f t="shared" si="8"/>
        <v>167731.65571227629</v>
      </c>
      <c r="K124" s="6">
        <f t="shared" si="9"/>
        <v>171266.10867244136</v>
      </c>
    </row>
    <row r="125" spans="1:11" x14ac:dyDescent="0.25">
      <c r="A125" s="159">
        <v>2017</v>
      </c>
      <c r="B125" s="159">
        <v>6</v>
      </c>
      <c r="C125" s="160">
        <v>-3.0800000000000001E-2</v>
      </c>
      <c r="D125" s="136">
        <f t="shared" si="7"/>
        <v>-2.9960000000000001E-2</v>
      </c>
      <c r="E125" s="161">
        <v>206355</v>
      </c>
      <c r="F125" s="186">
        <v>-3.6600000000000001E-2</v>
      </c>
      <c r="G125" s="186">
        <v>-3.3999999999999998E-3</v>
      </c>
      <c r="H125" s="154"/>
      <c r="I125" s="136">
        <f>(0.2*(G125))  +  (0.8*(F125))</f>
        <v>-2.9960000000000001E-2</v>
      </c>
      <c r="J125" s="135">
        <f t="shared" si="8"/>
        <v>167933.10867244136</v>
      </c>
      <c r="K125" s="6">
        <f t="shared" si="9"/>
        <v>162901.83273661503</v>
      </c>
    </row>
    <row r="126" spans="1:11" x14ac:dyDescent="0.25">
      <c r="A126" s="159">
        <v>2017</v>
      </c>
      <c r="B126" s="159">
        <v>7</v>
      </c>
      <c r="C126" s="160">
        <v>1.8499999999999999E-2</v>
      </c>
      <c r="D126" s="136">
        <f t="shared" si="7"/>
        <v>1.8259999999999998E-2</v>
      </c>
      <c r="E126" s="161">
        <v>206843</v>
      </c>
      <c r="F126" s="185">
        <v>2.12E-2</v>
      </c>
      <c r="G126" s="185">
        <v>6.4999999999999997E-3</v>
      </c>
      <c r="H126" s="154"/>
      <c r="I126" s="136">
        <f>(0.2*(G126-G126*'TAX reduces gains by'!$Y$22))  +  (0.8*(F126-F126*'TAX reduces gains by'!$Y$21))</f>
        <v>1.4699127450980391E-2</v>
      </c>
      <c r="J126" s="135">
        <f t="shared" si="8"/>
        <v>159568.83273661503</v>
      </c>
      <c r="K126" s="6">
        <f t="shared" si="9"/>
        <v>161914.3553462147</v>
      </c>
    </row>
    <row r="127" spans="1:11" x14ac:dyDescent="0.25">
      <c r="A127" s="159">
        <v>2017</v>
      </c>
      <c r="B127" s="159">
        <v>8</v>
      </c>
      <c r="C127" s="160">
        <v>2.2800000000000001E-2</v>
      </c>
      <c r="D127" s="136">
        <f t="shared" si="7"/>
        <v>2.2380000000000001E-2</v>
      </c>
      <c r="E127" s="161">
        <v>208221</v>
      </c>
      <c r="F127" s="185">
        <v>2.5999999999999999E-2</v>
      </c>
      <c r="G127" s="185">
        <v>7.9000000000000008E-3</v>
      </c>
      <c r="H127" s="154"/>
      <c r="I127" s="136">
        <f>(0.2*(G127-G127*'TAX reduces gains by'!$Y$22))  +  (0.8*(F127-F127*'TAX reduces gains by'!$Y$21))</f>
        <v>1.8014754901960785E-2</v>
      </c>
      <c r="J127" s="135">
        <f t="shared" si="8"/>
        <v>158581.3553462147</v>
      </c>
      <c r="K127" s="6">
        <f t="shared" si="9"/>
        <v>161438.1595947975</v>
      </c>
    </row>
    <row r="128" spans="1:11" x14ac:dyDescent="0.25">
      <c r="A128" s="159">
        <v>2017</v>
      </c>
      <c r="B128" s="159">
        <v>9</v>
      </c>
      <c r="C128" s="160">
        <v>5.4999999999999997E-3</v>
      </c>
      <c r="D128" s="136">
        <f t="shared" si="7"/>
        <v>5.2599999999999999E-3</v>
      </c>
      <c r="E128" s="161">
        <v>206042</v>
      </c>
      <c r="F128" s="185">
        <v>7.6E-3</v>
      </c>
      <c r="G128" s="186">
        <v>-4.1000000000000003E-3</v>
      </c>
      <c r="H128" s="154"/>
      <c r="I128" s="136">
        <f>(0.2*(G128))  +  (0.8*(F128-F128*'TAX reduces gains by'!$Y$21))</f>
        <v>4.0439999999999999E-3</v>
      </c>
      <c r="J128" s="135">
        <f t="shared" si="8"/>
        <v>158105.1595947975</v>
      </c>
      <c r="K128" s="6">
        <f t="shared" si="9"/>
        <v>158744.53686019886</v>
      </c>
    </row>
    <row r="129" spans="1:11" x14ac:dyDescent="0.25">
      <c r="A129" s="159">
        <v>2017</v>
      </c>
      <c r="B129" s="159">
        <v>10</v>
      </c>
      <c r="C129" s="160">
        <v>8.9999999999999998E-4</v>
      </c>
      <c r="D129" s="136">
        <f t="shared" si="7"/>
        <v>9.0000000000000008E-4</v>
      </c>
      <c r="E129" s="161">
        <v>202898</v>
      </c>
      <c r="F129" s="185">
        <v>8.9999999999999998E-4</v>
      </c>
      <c r="G129" s="185">
        <v>8.9999999999999998E-4</v>
      </c>
      <c r="H129" s="154"/>
      <c r="I129" s="136">
        <f>(0.2*(G129-G129*'TAX reduces gains by'!$Y$22))  +  (0.8*(F129-F129*'TAX reduces gains by'!$Y$21))</f>
        <v>7.3261764705882348E-4</v>
      </c>
      <c r="J129" s="135">
        <f t="shared" si="8"/>
        <v>155411.53686019886</v>
      </c>
      <c r="K129" s="6">
        <f t="shared" si="9"/>
        <v>155525.39409465916</v>
      </c>
    </row>
    <row r="130" spans="1:11" x14ac:dyDescent="0.25">
      <c r="A130" s="159">
        <v>2017</v>
      </c>
      <c r="B130" s="159">
        <v>11</v>
      </c>
      <c r="C130" s="160">
        <v>-1.3299999999999999E-2</v>
      </c>
      <c r="D130" s="136">
        <f t="shared" si="7"/>
        <v>-1.316E-2</v>
      </c>
      <c r="E130" s="161">
        <v>196858</v>
      </c>
      <c r="F130" s="186">
        <v>-1.47E-2</v>
      </c>
      <c r="G130" s="186">
        <v>-7.0000000000000001E-3</v>
      </c>
      <c r="H130" s="154"/>
      <c r="I130" s="136">
        <f>(0.2*(G130))  +  (0.8*(F130))</f>
        <v>-1.316E-2</v>
      </c>
      <c r="J130" s="135">
        <f t="shared" si="8"/>
        <v>152192.39409465916</v>
      </c>
      <c r="K130" s="6">
        <f t="shared" si="9"/>
        <v>150189.54218837345</v>
      </c>
    </row>
    <row r="131" spans="1:11" x14ac:dyDescent="0.25">
      <c r="A131" s="159">
        <v>2017</v>
      </c>
      <c r="B131" s="159">
        <v>12</v>
      </c>
      <c r="C131" s="160">
        <v>-1.18E-2</v>
      </c>
      <c r="D131" s="136">
        <f t="shared" si="7"/>
        <v>-1.1140000000000001E-2</v>
      </c>
      <c r="E131" s="161">
        <v>191210</v>
      </c>
      <c r="F131" s="186">
        <v>-1.61E-2</v>
      </c>
      <c r="G131" s="185">
        <v>8.6999999999999994E-3</v>
      </c>
      <c r="H131" s="154"/>
      <c r="I131" s="136">
        <f>(0.2*(G131-G131*'TAX reduces gains by'!$Y$22))  +  (0.8*(F131))</f>
        <v>-1.1366029411764707E-2</v>
      </c>
      <c r="J131" s="135">
        <f t="shared" si="8"/>
        <v>146856.54218837345</v>
      </c>
      <c r="K131" s="6">
        <f t="shared" si="9"/>
        <v>145187.36641055034</v>
      </c>
    </row>
    <row r="132" spans="1:11" x14ac:dyDescent="0.25">
      <c r="A132" s="159">
        <v>2018</v>
      </c>
      <c r="B132" s="159">
        <v>1</v>
      </c>
      <c r="C132" s="160">
        <v>-1.5800000000000002E-2</v>
      </c>
      <c r="D132" s="136">
        <f t="shared" si="7"/>
        <v>-1.576E-2</v>
      </c>
      <c r="E132" s="161">
        <v>184860</v>
      </c>
      <c r="F132" s="186">
        <v>-1.7100000000000001E-2</v>
      </c>
      <c r="G132" s="186">
        <v>-1.04E-2</v>
      </c>
      <c r="H132" s="154"/>
      <c r="I132" s="136">
        <f>(0.2*(G132))  +  (0.8*(F132))</f>
        <v>-1.576E-2</v>
      </c>
      <c r="J132" s="135">
        <f t="shared" si="8"/>
        <v>141854.36641055034</v>
      </c>
      <c r="K132" s="6">
        <f t="shared" si="9"/>
        <v>139618.74159592006</v>
      </c>
    </row>
    <row r="133" spans="1:11" x14ac:dyDescent="0.25">
      <c r="A133" s="159">
        <v>2018</v>
      </c>
      <c r="B133" s="159">
        <v>2</v>
      </c>
      <c r="C133" s="160">
        <v>-8.1299999999999997E-2</v>
      </c>
      <c r="D133" s="136">
        <f t="shared" si="7"/>
        <v>-8.1380000000000008E-2</v>
      </c>
      <c r="E133" s="161">
        <v>166499</v>
      </c>
      <c r="F133" s="186">
        <v>-0.10100000000000001</v>
      </c>
      <c r="G133" s="186">
        <v>-2.8999999999999998E-3</v>
      </c>
      <c r="H133" s="154"/>
      <c r="I133" s="136">
        <f>(0.2*(G133))  +  (0.8*(F133))</f>
        <v>-8.1380000000000008E-2</v>
      </c>
      <c r="J133" s="135">
        <f t="shared" si="8"/>
        <v>136285.74159592006</v>
      </c>
      <c r="K133" s="6">
        <f t="shared" si="9"/>
        <v>125194.80794484408</v>
      </c>
    </row>
    <row r="134" spans="1:11" x14ac:dyDescent="0.25">
      <c r="A134" s="159">
        <v>2018</v>
      </c>
      <c r="B134" s="159">
        <v>3</v>
      </c>
      <c r="C134" s="160">
        <v>4.5199999999999997E-2</v>
      </c>
      <c r="D134" s="136">
        <f t="shared" si="7"/>
        <v>4.616E-2</v>
      </c>
      <c r="E134" s="161">
        <v>170687</v>
      </c>
      <c r="F134" s="185">
        <v>5.7099999999999998E-2</v>
      </c>
      <c r="G134" s="185">
        <v>2.3999999999999998E-3</v>
      </c>
      <c r="H134" s="154"/>
      <c r="I134" s="136">
        <f>(0.2*(G134-G134*'TAX reduces gains by'!$Y$22))  +  (0.8*(F134-F134*'TAX reduces gains by'!$Y$21))</f>
        <v>3.696164705882353E-2</v>
      </c>
      <c r="J134" s="135">
        <f t="shared" si="8"/>
        <v>121861.80794484408</v>
      </c>
      <c r="K134" s="6">
        <f t="shared" si="9"/>
        <v>126366.02108005155</v>
      </c>
    </row>
    <row r="135" spans="1:11" x14ac:dyDescent="0.25">
      <c r="A135" s="159">
        <v>2018</v>
      </c>
      <c r="B135" s="159">
        <v>4</v>
      </c>
      <c r="C135" s="160">
        <v>1.6000000000000001E-3</v>
      </c>
      <c r="D135" s="136">
        <f t="shared" si="7"/>
        <v>1.6199999999999999E-3</v>
      </c>
      <c r="E135" s="161">
        <v>167627</v>
      </c>
      <c r="F135" s="185">
        <v>2.8999999999999998E-3</v>
      </c>
      <c r="G135" s="186">
        <v>-3.5000000000000001E-3</v>
      </c>
      <c r="H135" s="154"/>
      <c r="I135" s="136">
        <f>(0.2*(G135))  +  (0.8*(F135-F135*'TAX reduces gains by'!$Y$21))</f>
        <v>1.1559999999999999E-3</v>
      </c>
      <c r="J135" s="135">
        <f t="shared" si="8"/>
        <v>123033.02108005155</v>
      </c>
      <c r="K135" s="6">
        <f t="shared" si="9"/>
        <v>123175.24725242009</v>
      </c>
    </row>
    <row r="136" spans="1:11" x14ac:dyDescent="0.25">
      <c r="A136" s="159">
        <v>2018</v>
      </c>
      <c r="B136" s="159">
        <v>5</v>
      </c>
      <c r="C136" s="160">
        <v>1.5599999999999999E-2</v>
      </c>
      <c r="D136" s="136">
        <f t="shared" si="7"/>
        <v>1.5599999999999999E-2</v>
      </c>
      <c r="E136" s="161">
        <v>166904</v>
      </c>
      <c r="F136" s="185">
        <v>1.6899999999999998E-2</v>
      </c>
      <c r="G136" s="185">
        <v>1.04E-2</v>
      </c>
      <c r="H136" s="154"/>
      <c r="I136" s="136">
        <f>(0.2*(G136-G136*'TAX reduces gains by'!$Y$22))  +  (0.8*(F136-F136*'TAX reduces gains by'!$Y$21))</f>
        <v>1.2625803921568627E-2</v>
      </c>
      <c r="J136" s="135">
        <f t="shared" si="8"/>
        <v>119842.24725242009</v>
      </c>
      <c r="K136" s="6">
        <f t="shared" si="9"/>
        <v>121355.35196774929</v>
      </c>
    </row>
    <row r="137" spans="1:11" x14ac:dyDescent="0.25">
      <c r="A137" s="159">
        <v>2018</v>
      </c>
      <c r="B137" s="159">
        <v>6</v>
      </c>
      <c r="C137" s="160">
        <v>3.8199999999999998E-2</v>
      </c>
      <c r="D137" s="136">
        <f t="shared" si="7"/>
        <v>3.8580000000000003E-2</v>
      </c>
      <c r="E137" s="161">
        <v>169950</v>
      </c>
      <c r="F137" s="185">
        <v>4.8000000000000001E-2</v>
      </c>
      <c r="G137" s="185">
        <v>8.9999999999999998E-4</v>
      </c>
      <c r="H137" s="154"/>
      <c r="I137" s="136">
        <f>(0.2*(G137-G137*'TAX reduces gains by'!$Y$22))  +  (0.8*(F137))</f>
        <v>3.8556617647058825E-2</v>
      </c>
      <c r="J137" s="135">
        <f t="shared" si="8"/>
        <v>118022.35196774929</v>
      </c>
      <c r="K137" s="6">
        <f t="shared" si="9"/>
        <v>122572.89466637639</v>
      </c>
    </row>
    <row r="138" spans="1:11" x14ac:dyDescent="0.25">
      <c r="A138" s="159">
        <v>2018</v>
      </c>
      <c r="B138" s="159">
        <v>7</v>
      </c>
      <c r="C138" s="160">
        <v>7.1099999999999997E-2</v>
      </c>
      <c r="D138" s="136">
        <f t="shared" si="7"/>
        <v>7.1039999999999992E-2</v>
      </c>
      <c r="E138" s="161">
        <v>178692</v>
      </c>
      <c r="F138" s="185">
        <v>8.8200000000000001E-2</v>
      </c>
      <c r="G138" s="185">
        <v>2.3999999999999998E-3</v>
      </c>
      <c r="H138" s="154"/>
      <c r="I138" s="136">
        <f>(0.2*(G138-G138*'TAX reduces gains by'!$Y$22))  +  (0.8*(F138))</f>
        <v>7.097764705882352E-2</v>
      </c>
      <c r="J138" s="135">
        <f t="shared" si="8"/>
        <v>119239.89466637639</v>
      </c>
      <c r="K138" s="6">
        <f t="shared" si="9"/>
        <v>127703.26182533774</v>
      </c>
    </row>
    <row r="139" spans="1:11" x14ac:dyDescent="0.25">
      <c r="A139" s="159">
        <v>2018</v>
      </c>
      <c r="B139" s="159">
        <v>8</v>
      </c>
      <c r="C139" s="160">
        <v>1.95E-2</v>
      </c>
      <c r="D139" s="136">
        <f t="shared" si="7"/>
        <v>1.9220000000000001E-2</v>
      </c>
      <c r="E139" s="161">
        <v>178837</v>
      </c>
      <c r="F139" s="185">
        <v>2.3599999999999999E-2</v>
      </c>
      <c r="G139" s="185">
        <v>1.6999999999999999E-3</v>
      </c>
      <c r="H139" s="154"/>
      <c r="I139" s="136">
        <f>(0.2*(G139-G139*'TAX reduces gains by'!$Y$22))  +  (0.8*(F139))</f>
        <v>1.9175833333333333E-2</v>
      </c>
      <c r="J139" s="135">
        <f t="shared" si="8"/>
        <v>124370.26182533774</v>
      </c>
      <c r="K139" s="6">
        <f t="shared" si="9"/>
        <v>126755.16523772344</v>
      </c>
    </row>
    <row r="140" spans="1:11" x14ac:dyDescent="0.25">
      <c r="A140" s="159">
        <v>2018</v>
      </c>
      <c r="B140" s="159">
        <v>9</v>
      </c>
      <c r="C140" s="160">
        <v>-7.2300000000000003E-2</v>
      </c>
      <c r="D140" s="136">
        <f t="shared" si="7"/>
        <v>-7.0959999999999995E-2</v>
      </c>
      <c r="E140" s="161">
        <v>162572</v>
      </c>
      <c r="F140" s="186">
        <v>-8.7499999999999994E-2</v>
      </c>
      <c r="G140" s="186">
        <v>-4.7999999999999996E-3</v>
      </c>
      <c r="H140" s="154"/>
      <c r="I140" s="136">
        <f>(0.2*(G140))  +  (0.8*(F140))</f>
        <v>-7.0959999999999995E-2</v>
      </c>
      <c r="J140" s="135">
        <f t="shared" si="8"/>
        <v>123422.16523772344</v>
      </c>
      <c r="K140" s="6">
        <f t="shared" si="9"/>
        <v>114664.12839245459</v>
      </c>
    </row>
    <row r="141" spans="1:11" x14ac:dyDescent="0.25">
      <c r="A141" s="159">
        <v>2018</v>
      </c>
      <c r="B141" s="159">
        <v>10</v>
      </c>
      <c r="C141" s="160">
        <v>-6.6900000000000001E-2</v>
      </c>
      <c r="D141" s="136">
        <f t="shared" si="7"/>
        <v>-6.6720000000000002E-2</v>
      </c>
      <c r="E141" s="161">
        <v>148359</v>
      </c>
      <c r="F141" s="186">
        <v>-8.2000000000000003E-2</v>
      </c>
      <c r="G141" s="186">
        <v>-5.5999999999999999E-3</v>
      </c>
      <c r="H141" s="154"/>
      <c r="I141" s="136">
        <f>(0.2*(G141))  +  (0.8*(F141))</f>
        <v>-6.6720000000000002E-2</v>
      </c>
      <c r="J141" s="135">
        <f t="shared" si="8"/>
        <v>111331.12839245459</v>
      </c>
      <c r="K141" s="6">
        <f t="shared" si="9"/>
        <v>103903.11550611001</v>
      </c>
    </row>
    <row r="142" spans="1:11" x14ac:dyDescent="0.25">
      <c r="A142" s="159">
        <v>2018</v>
      </c>
      <c r="B142" s="159">
        <v>11</v>
      </c>
      <c r="C142" s="160">
        <v>9.2299999999999993E-2</v>
      </c>
      <c r="D142" s="136">
        <f t="shared" si="7"/>
        <v>9.3359999999999999E-2</v>
      </c>
      <c r="E142" s="161">
        <v>158721</v>
      </c>
      <c r="F142" s="185">
        <v>0.11409999999999999</v>
      </c>
      <c r="G142" s="185">
        <v>1.04E-2</v>
      </c>
      <c r="H142" s="154"/>
      <c r="I142" s="136">
        <f>(0.2*(G142-G142*'TAX reduces gains by'!$Y$22))  +  (0.8*(F142))</f>
        <v>9.3089803921568626E-2</v>
      </c>
      <c r="J142" s="135">
        <f t="shared" si="8"/>
        <v>100570.11550611001</v>
      </c>
      <c r="K142" s="6">
        <f t="shared" si="9"/>
        <v>109932.16783894331</v>
      </c>
    </row>
    <row r="143" spans="1:11" x14ac:dyDescent="0.25">
      <c r="A143" s="159">
        <v>2018</v>
      </c>
      <c r="B143" s="159">
        <v>12</v>
      </c>
      <c r="C143" s="160">
        <v>-5.0599999999999999E-2</v>
      </c>
      <c r="D143" s="136">
        <f t="shared" si="7"/>
        <v>-5.0179999999999995E-2</v>
      </c>
      <c r="E143" s="161">
        <v>147353</v>
      </c>
      <c r="F143" s="186">
        <v>-6.5699999999999995E-2</v>
      </c>
      <c r="G143" s="185">
        <v>1.1900000000000001E-2</v>
      </c>
      <c r="H143" s="154"/>
      <c r="I143" s="136">
        <f>(0.2*(G143-G143*'TAX reduces gains by'!$Y$22))  +  (0.8*(F143))</f>
        <v>-5.0489166666666661E-2</v>
      </c>
      <c r="J143" s="135">
        <f t="shared" si="8"/>
        <v>106599.16783894331</v>
      </c>
      <c r="K143" s="6">
        <f t="shared" si="9"/>
        <v>101217.06468739493</v>
      </c>
    </row>
    <row r="144" spans="1:11" x14ac:dyDescent="0.25">
      <c r="A144" s="159">
        <v>2019</v>
      </c>
      <c r="B144" s="159">
        <v>1</v>
      </c>
      <c r="C144" s="160">
        <v>1.5100000000000001E-2</v>
      </c>
      <c r="D144" s="136">
        <f t="shared" si="7"/>
        <v>1.5080000000000001E-2</v>
      </c>
      <c r="E144" s="161">
        <v>146241</v>
      </c>
      <c r="F144" s="185">
        <v>1.6799999999999999E-2</v>
      </c>
      <c r="G144" s="185">
        <v>8.2000000000000007E-3</v>
      </c>
      <c r="H144" s="154"/>
      <c r="I144" s="136">
        <f>(0.2*(G144-G144*'TAX reduces gains by'!$Y$22))  +  (0.8*(F144-F144*'TAX reduces gains by'!$Y$21))</f>
        <v>1.2178960784313724E-2</v>
      </c>
      <c r="J144" s="135">
        <f t="shared" si="8"/>
        <v>97884.06468739493</v>
      </c>
      <c r="K144" s="6">
        <f t="shared" si="9"/>
        <v>99076.190872631938</v>
      </c>
    </row>
    <row r="145" spans="1:11" x14ac:dyDescent="0.25">
      <c r="A145" s="159">
        <v>2019</v>
      </c>
      <c r="B145" s="159">
        <v>2</v>
      </c>
      <c r="C145" s="160">
        <v>3.6299999999999999E-2</v>
      </c>
      <c r="D145" s="136">
        <f t="shared" si="7"/>
        <v>3.628E-2</v>
      </c>
      <c r="E145" s="161">
        <v>148223</v>
      </c>
      <c r="F145" s="185">
        <v>4.41E-2</v>
      </c>
      <c r="G145" s="185">
        <v>5.0000000000000001E-3</v>
      </c>
      <c r="H145" s="154"/>
      <c r="I145" s="136">
        <f>(0.2*(G145-G145*'TAX reduces gains by'!$Y$22))  +  (0.8*(F145-F145*'TAX reduces gains by'!$Y$21))</f>
        <v>2.9094098039215685E-2</v>
      </c>
      <c r="J145" s="135">
        <f t="shared" si="8"/>
        <v>95743.190872631938</v>
      </c>
      <c r="K145" s="6">
        <f t="shared" si="9"/>
        <v>98528.752654467637</v>
      </c>
    </row>
    <row r="146" spans="1:11" x14ac:dyDescent="0.25">
      <c r="A146" s="159">
        <v>2019</v>
      </c>
      <c r="B146" s="159">
        <v>3</v>
      </c>
      <c r="C146" s="160">
        <v>5.2400000000000002E-2</v>
      </c>
      <c r="D146" s="136">
        <f t="shared" si="7"/>
        <v>5.2040000000000003E-2</v>
      </c>
      <c r="E146" s="161">
        <v>152661</v>
      </c>
      <c r="F146" s="185">
        <v>6.1800000000000001E-2</v>
      </c>
      <c r="G146" s="185">
        <v>1.2999999999999999E-2</v>
      </c>
      <c r="H146" s="154"/>
      <c r="I146" s="136">
        <f>(0.2*(G146-G146*'TAX reduces gains by'!$Y$22))  +  (0.8*(F146-F146*'TAX reduces gains by'!$Y$21))</f>
        <v>4.1814254901960786E-2</v>
      </c>
      <c r="J146" s="135">
        <f t="shared" si="8"/>
        <v>95195.752654467637</v>
      </c>
      <c r="K146" s="6">
        <f t="shared" si="9"/>
        <v>99176.292121545557</v>
      </c>
    </row>
    <row r="147" spans="1:11" x14ac:dyDescent="0.25">
      <c r="A147" s="159">
        <v>2019</v>
      </c>
      <c r="B147" s="159">
        <v>4</v>
      </c>
      <c r="C147" s="160">
        <v>-8.3000000000000001E-3</v>
      </c>
      <c r="D147" s="136">
        <f t="shared" si="7"/>
        <v>-8.0599999999999995E-3</v>
      </c>
      <c r="E147" s="161">
        <v>148063</v>
      </c>
      <c r="F147" s="186">
        <v>-1.0800000000000001E-2</v>
      </c>
      <c r="G147" s="185">
        <v>2.8999999999999998E-3</v>
      </c>
      <c r="H147" s="154"/>
      <c r="I147" s="136">
        <f>(0.2*(G147-G147*'TAX reduces gains by'!$Y$22))  +  (0.8*(F147))</f>
        <v>-8.1353431372549016E-3</v>
      </c>
      <c r="J147" s="135">
        <f t="shared" si="8"/>
        <v>95843.292121545557</v>
      </c>
      <c r="K147" s="6">
        <f t="shared" si="9"/>
        <v>95063.574052732627</v>
      </c>
    </row>
    <row r="148" spans="1:11" x14ac:dyDescent="0.25">
      <c r="A148" s="159">
        <v>2019</v>
      </c>
      <c r="B148" s="159">
        <v>5</v>
      </c>
      <c r="C148" s="160">
        <v>2.5999999999999999E-3</v>
      </c>
      <c r="D148" s="136">
        <f t="shared" si="7"/>
        <v>2.8000000000000004E-3</v>
      </c>
      <c r="E148" s="161">
        <v>145117</v>
      </c>
      <c r="F148" s="185">
        <v>1E-4</v>
      </c>
      <c r="G148" s="185">
        <v>1.3599999999999999E-2</v>
      </c>
      <c r="H148" s="154"/>
      <c r="I148" s="136">
        <f>(0.2*(G148-G148*'TAX reduces gains by'!$Y$22))  +  (0.8*(F148-F148*'TAX reduces gains by'!$Y$21))</f>
        <v>2.430666666666666E-3</v>
      </c>
      <c r="J148" s="135">
        <f t="shared" si="8"/>
        <v>91730.574052732627</v>
      </c>
      <c r="K148" s="6">
        <f t="shared" si="9"/>
        <v>91953.540501396797</v>
      </c>
    </row>
    <row r="149" spans="1:11" x14ac:dyDescent="0.25">
      <c r="A149" s="159">
        <v>2019</v>
      </c>
      <c r="B149" s="159">
        <v>6</v>
      </c>
      <c r="C149" s="160">
        <v>8.5000000000000006E-3</v>
      </c>
      <c r="D149" s="136">
        <f t="shared" si="7"/>
        <v>8.4799999999999997E-3</v>
      </c>
      <c r="E149" s="161">
        <v>143020</v>
      </c>
      <c r="F149" s="185">
        <v>9.7000000000000003E-3</v>
      </c>
      <c r="G149" s="185">
        <v>3.5999999999999999E-3</v>
      </c>
      <c r="H149" s="154"/>
      <c r="I149" s="136">
        <f>(0.2*(G149-G149*'TAX reduces gains by'!$Y$22))  +  (0.8*(F149-F149*'TAX reduces gains by'!$Y$21))</f>
        <v>6.8344705882352952E-3</v>
      </c>
      <c r="J149" s="135">
        <f t="shared" si="8"/>
        <v>88620.540501396797</v>
      </c>
      <c r="K149" s="6">
        <f t="shared" si="9"/>
        <v>89226.214978967109</v>
      </c>
    </row>
    <row r="150" spans="1:11" x14ac:dyDescent="0.25">
      <c r="A150" s="159">
        <v>2019</v>
      </c>
      <c r="B150" s="159">
        <v>7</v>
      </c>
      <c r="C150" s="160">
        <v>-2.2200000000000001E-2</v>
      </c>
      <c r="D150" s="136">
        <f t="shared" si="7"/>
        <v>-2.1720000000000003E-2</v>
      </c>
      <c r="E150" s="161">
        <v>136518</v>
      </c>
      <c r="F150" s="186">
        <v>-2.9100000000000001E-2</v>
      </c>
      <c r="G150" s="185">
        <v>7.7999999999999996E-3</v>
      </c>
      <c r="H150" s="154"/>
      <c r="I150" s="136">
        <f>(0.2*(G150-G150*'TAX reduces gains by'!$Y$22))  +  (0.8*(F150))</f>
        <v>-2.1922647058823533E-2</v>
      </c>
      <c r="J150" s="135">
        <f t="shared" si="8"/>
        <v>85893.214978967109</v>
      </c>
      <c r="K150" s="6">
        <f t="shared" si="9"/>
        <v>84010.208342235564</v>
      </c>
    </row>
    <row r="151" spans="1:11" x14ac:dyDescent="0.25">
      <c r="A151" s="159">
        <v>2019</v>
      </c>
      <c r="B151" s="159">
        <v>8</v>
      </c>
      <c r="C151" s="160">
        <v>6.7900000000000002E-2</v>
      </c>
      <c r="D151" s="136">
        <f t="shared" si="7"/>
        <v>6.7520000000000011E-2</v>
      </c>
      <c r="E151" s="161">
        <v>142451</v>
      </c>
      <c r="F151" s="185">
        <v>8.1100000000000005E-2</v>
      </c>
      <c r="G151" s="185">
        <v>1.32E-2</v>
      </c>
      <c r="H151" s="154"/>
      <c r="I151" s="136">
        <f>(0.2*(G151-G151*'TAX reduces gains by'!$Y$22))  +  (0.8*(F151-F151*'TAX reduces gains by'!$Y$21))</f>
        <v>5.4201058823529415E-2</v>
      </c>
      <c r="J151" s="135">
        <f t="shared" si="8"/>
        <v>80677.208342235564</v>
      </c>
      <c r="K151" s="6">
        <f t="shared" si="9"/>
        <v>85049.998457311216</v>
      </c>
    </row>
    <row r="152" spans="1:11" x14ac:dyDescent="0.25">
      <c r="A152" s="170">
        <v>2019</v>
      </c>
      <c r="B152" s="170">
        <v>9</v>
      </c>
      <c r="C152" s="171">
        <v>4.6699999999999998E-2</v>
      </c>
      <c r="D152" s="136">
        <f t="shared" si="7"/>
        <v>4.5699999999999998E-2</v>
      </c>
      <c r="E152" s="172">
        <v>145769</v>
      </c>
      <c r="F152" s="187">
        <v>5.8999999999999997E-2</v>
      </c>
      <c r="G152" s="186">
        <v>-7.4999999999999997E-3</v>
      </c>
      <c r="H152" s="154"/>
      <c r="I152" s="136">
        <f>(0.2*(G152))  +  (0.8*(F152-F152*'TAX reduces gains by'!$Y$21))</f>
        <v>3.6260000000000001E-2</v>
      </c>
      <c r="J152" s="135">
        <f t="shared" si="8"/>
        <v>81716.998457311216</v>
      </c>
      <c r="K152" s="6">
        <f t="shared" si="9"/>
        <v>84680.05682137332</v>
      </c>
    </row>
    <row r="153" spans="1:11" x14ac:dyDescent="0.25">
      <c r="A153" s="159">
        <v>2019</v>
      </c>
      <c r="B153" s="159">
        <v>10</v>
      </c>
      <c r="C153" s="160">
        <v>-1.7399999999999999E-2</v>
      </c>
      <c r="D153" s="136">
        <f t="shared" si="7"/>
        <v>-1.6760000000000001E-2</v>
      </c>
      <c r="E153" s="161">
        <v>139906</v>
      </c>
      <c r="F153" s="186">
        <v>-2.1299999999999999E-2</v>
      </c>
      <c r="G153" s="185">
        <v>1.4E-3</v>
      </c>
      <c r="H153" s="154"/>
      <c r="I153" s="136">
        <f>(0.2*(G153-G153*'TAX reduces gains by'!$Y$22))  +  (0.8*(F153))</f>
        <v>-1.6796372549019608E-2</v>
      </c>
      <c r="J153" s="135">
        <f t="shared" si="8"/>
        <v>81347.05682137332</v>
      </c>
      <c r="K153" s="6">
        <f t="shared" si="9"/>
        <v>79980.72134923526</v>
      </c>
    </row>
    <row r="154" spans="1:11" x14ac:dyDescent="0.25">
      <c r="A154" s="9">
        <v>2019</v>
      </c>
      <c r="B154" s="9">
        <v>11</v>
      </c>
      <c r="C154" s="136">
        <v>-3.9199999999999999E-2</v>
      </c>
      <c r="D154" s="136">
        <f t="shared" si="7"/>
        <v>-3.8039999999999997E-2</v>
      </c>
      <c r="E154" s="141">
        <v>131095</v>
      </c>
      <c r="F154" s="186">
        <v>-4.7899999999999998E-2</v>
      </c>
      <c r="G154" s="185">
        <v>1.4E-3</v>
      </c>
      <c r="H154" s="154"/>
      <c r="I154" s="136">
        <f>(0.2*(G154-G154*'TAX reduces gains by'!$Y$22))  +  (0.8*(F154))</f>
        <v>-3.8076372549019605E-2</v>
      </c>
      <c r="J154" s="135">
        <f t="shared" si="8"/>
        <v>76647.72134923526</v>
      </c>
      <c r="K154" s="6">
        <f t="shared" si="9"/>
        <v>73729.254156108334</v>
      </c>
    </row>
    <row r="155" spans="1:11" x14ac:dyDescent="0.25">
      <c r="A155" s="156">
        <v>2019</v>
      </c>
      <c r="B155" s="156">
        <v>12</v>
      </c>
      <c r="C155" s="157">
        <v>1E-4</v>
      </c>
      <c r="D155" s="136">
        <f t="shared" si="7"/>
        <v>1.4000000000000004E-4</v>
      </c>
      <c r="E155" s="158">
        <v>127775</v>
      </c>
      <c r="F155" s="186">
        <v>-6.9999999999999999E-4</v>
      </c>
      <c r="G155" s="188">
        <v>3.5000000000000001E-3</v>
      </c>
      <c r="H155" s="154"/>
      <c r="I155" s="166">
        <f>(0.2*(G155-G155*'TAX reduces gains by'!$Y$22))  +  (0.8*(F155))</f>
        <v>4.9068627450980372E-5</v>
      </c>
      <c r="J155" s="135">
        <f t="shared" si="8"/>
        <v>70396.254156108334</v>
      </c>
      <c r="K155" s="6">
        <f t="shared" si="9"/>
        <v>70399.708403677461</v>
      </c>
    </row>
    <row r="156" spans="1:11" x14ac:dyDescent="0.25">
      <c r="A156" s="9" t="s">
        <v>21</v>
      </c>
      <c r="D156" s="136">
        <f t="shared" si="7"/>
        <v>0</v>
      </c>
      <c r="H156" s="87"/>
      <c r="J156" s="135" t="s">
        <v>36</v>
      </c>
      <c r="K156" s="6" t="s">
        <v>36</v>
      </c>
    </row>
    <row r="157" spans="1:11" x14ac:dyDescent="0.25">
      <c r="H157" s="87"/>
    </row>
    <row r="158" spans="1:11" x14ac:dyDescent="0.25">
      <c r="H158" s="87"/>
    </row>
    <row r="159" spans="1:11" x14ac:dyDescent="0.25">
      <c r="H159" s="87"/>
    </row>
    <row r="160" spans="1:11" x14ac:dyDescent="0.25">
      <c r="H160" s="87"/>
    </row>
    <row r="161" spans="8:8" x14ac:dyDescent="0.25">
      <c r="H161" s="87"/>
    </row>
    <row r="162" spans="8:8" x14ac:dyDescent="0.25">
      <c r="H162" s="87"/>
    </row>
    <row r="163" spans="8:8" x14ac:dyDescent="0.25">
      <c r="H163" s="87"/>
    </row>
    <row r="164" spans="8:8" x14ac:dyDescent="0.25">
      <c r="H164" s="87"/>
    </row>
    <row r="165" spans="8:8" x14ac:dyDescent="0.25">
      <c r="H165" s="87"/>
    </row>
    <row r="166" spans="8:8" x14ac:dyDescent="0.25">
      <c r="H166" s="87"/>
    </row>
    <row r="167" spans="8:8" x14ac:dyDescent="0.25">
      <c r="H167" s="87"/>
    </row>
    <row r="168" spans="8:8" x14ac:dyDescent="0.25">
      <c r="H168" s="87"/>
    </row>
    <row r="169" spans="8:8" x14ac:dyDescent="0.25">
      <c r="H169" s="87"/>
    </row>
    <row r="170" spans="8:8" x14ac:dyDescent="0.25">
      <c r="H170" s="87"/>
    </row>
    <row r="171" spans="8:8" x14ac:dyDescent="0.25">
      <c r="H171" s="87"/>
    </row>
    <row r="172" spans="8:8" x14ac:dyDescent="0.25">
      <c r="H172" s="87"/>
    </row>
    <row r="173" spans="8:8" x14ac:dyDescent="0.25">
      <c r="H173" s="87"/>
    </row>
    <row r="174" spans="8:8" x14ac:dyDescent="0.25">
      <c r="H174" s="87"/>
    </row>
    <row r="175" spans="8:8" x14ac:dyDescent="0.25">
      <c r="H175" s="87"/>
    </row>
    <row r="176" spans="8:8" x14ac:dyDescent="0.25">
      <c r="H176" s="87"/>
    </row>
    <row r="177" spans="8:8" x14ac:dyDescent="0.25">
      <c r="H177" s="87"/>
    </row>
    <row r="178" spans="8:8" x14ac:dyDescent="0.25">
      <c r="H178" s="87"/>
    </row>
    <row r="179" spans="8:8" x14ac:dyDescent="0.25">
      <c r="H179" s="87"/>
    </row>
    <row r="180" spans="8:8" x14ac:dyDescent="0.25">
      <c r="H180" s="87"/>
    </row>
    <row r="181" spans="8:8" x14ac:dyDescent="0.25">
      <c r="H181" s="87"/>
    </row>
    <row r="182" spans="8:8" x14ac:dyDescent="0.25">
      <c r="H182" s="87"/>
    </row>
    <row r="183" spans="8:8" x14ac:dyDescent="0.25">
      <c r="H183" s="87"/>
    </row>
    <row r="184" spans="8:8" x14ac:dyDescent="0.25">
      <c r="H184" s="87"/>
    </row>
    <row r="185" spans="8:8" x14ac:dyDescent="0.25">
      <c r="H185" s="87"/>
    </row>
    <row r="186" spans="8:8" x14ac:dyDescent="0.25">
      <c r="H186" s="87"/>
    </row>
    <row r="187" spans="8:8" x14ac:dyDescent="0.25">
      <c r="H187" s="87"/>
    </row>
    <row r="188" spans="8:8" x14ac:dyDescent="0.25">
      <c r="H188" s="87"/>
    </row>
    <row r="189" spans="8:8" x14ac:dyDescent="0.25">
      <c r="H189" s="87"/>
    </row>
    <row r="190" spans="8:8" x14ac:dyDescent="0.25">
      <c r="H190" s="87"/>
    </row>
    <row r="191" spans="8:8" x14ac:dyDescent="0.25">
      <c r="H191" s="87"/>
    </row>
    <row r="192" spans="8:8" x14ac:dyDescent="0.25">
      <c r="H192" s="87"/>
    </row>
    <row r="193" spans="8:8" x14ac:dyDescent="0.25">
      <c r="H193" s="87"/>
    </row>
    <row r="194" spans="8:8" x14ac:dyDescent="0.25">
      <c r="H194" s="87"/>
    </row>
    <row r="195" spans="8:8" x14ac:dyDescent="0.25">
      <c r="H195" s="87"/>
    </row>
    <row r="196" spans="8:8" x14ac:dyDescent="0.25">
      <c r="H196" s="87"/>
    </row>
    <row r="197" spans="8:8" x14ac:dyDescent="0.25">
      <c r="H197" s="87"/>
    </row>
    <row r="198" spans="8:8" x14ac:dyDescent="0.25">
      <c r="H198" s="87"/>
    </row>
    <row r="199" spans="8:8" x14ac:dyDescent="0.25">
      <c r="H199" s="8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1F8CB-EADA-40D4-ADB0-5659900D8DE7}">
  <dimension ref="A1:V196"/>
  <sheetViews>
    <sheetView workbookViewId="0"/>
  </sheetViews>
  <sheetFormatPr defaultRowHeight="15" x14ac:dyDescent="0.25"/>
  <cols>
    <col min="1" max="3" width="9.140625" style="9"/>
    <col min="4" max="4" width="12.140625" style="9" bestFit="1" customWidth="1"/>
    <col min="5" max="5" width="18.140625" style="9" bestFit="1" customWidth="1"/>
    <col min="6" max="9" width="9.140625" style="9"/>
    <col min="10" max="10" width="15" style="9" customWidth="1"/>
    <col min="11" max="16384" width="9.140625" style="9"/>
  </cols>
  <sheetData>
    <row r="1" spans="1:22" x14ac:dyDescent="0.25">
      <c r="A1" s="9" t="s">
        <v>36</v>
      </c>
      <c r="K1" s="9" t="s">
        <v>72</v>
      </c>
      <c r="L1" s="9" t="s">
        <v>6</v>
      </c>
      <c r="M1" s="130">
        <f>C4*5</f>
        <v>0.43175000000000008</v>
      </c>
      <c r="N1" s="131">
        <f>M1/M2</f>
        <v>1.2265625000000002</v>
      </c>
      <c r="R1" s="130">
        <f>C4</f>
        <v>8.635000000000001E-2</v>
      </c>
      <c r="V1" s="130">
        <f>D4</f>
        <v>7.5474750000000007E-2</v>
      </c>
    </row>
    <row r="2" spans="1:22" ht="90" x14ac:dyDescent="0.25">
      <c r="A2" s="9" t="s">
        <v>0</v>
      </c>
      <c r="B2" s="9" t="s">
        <v>1</v>
      </c>
      <c r="C2" s="9" t="s">
        <v>2</v>
      </c>
      <c r="D2" s="9" t="s">
        <v>3</v>
      </c>
      <c r="F2" s="132" t="s">
        <v>65</v>
      </c>
      <c r="G2" s="132" t="s">
        <v>35</v>
      </c>
      <c r="H2" s="9" t="s">
        <v>36</v>
      </c>
      <c r="L2" s="9" t="s">
        <v>7</v>
      </c>
      <c r="M2" s="134">
        <v>0.35199999999999998</v>
      </c>
      <c r="P2" s="9" t="s">
        <v>8</v>
      </c>
      <c r="Q2" s="9">
        <v>200000</v>
      </c>
      <c r="R2" s="9">
        <v>40000</v>
      </c>
      <c r="S2" s="9" t="s">
        <v>9</v>
      </c>
      <c r="T2" s="9" t="s">
        <v>8</v>
      </c>
      <c r="U2" s="9">
        <v>200000</v>
      </c>
      <c r="V2" s="9">
        <v>40000</v>
      </c>
    </row>
    <row r="3" spans="1:22" x14ac:dyDescent="0.25">
      <c r="A3" s="9" t="s">
        <v>5</v>
      </c>
      <c r="P3" s="9">
        <v>1</v>
      </c>
      <c r="Q3" s="9">
        <f>Q2 - R2</f>
        <v>160000</v>
      </c>
      <c r="R3" s="135">
        <f>Q3*(1+R1)</f>
        <v>173816</v>
      </c>
      <c r="T3" s="9">
        <v>1</v>
      </c>
      <c r="U3" s="9">
        <f>U2 - V2</f>
        <v>160000</v>
      </c>
      <c r="V3" s="135">
        <f>U3*(1+V1)</f>
        <v>172075.96</v>
      </c>
    </row>
    <row r="4" spans="1:22" ht="15.75" thickBot="1" x14ac:dyDescent="0.3">
      <c r="C4" s="136">
        <f>AVERAGE(C5:C24)</f>
        <v>8.635000000000001E-2</v>
      </c>
      <c r="D4" s="165">
        <f>AVERAGE(D5:D24)</f>
        <v>7.5474750000000007E-2</v>
      </c>
      <c r="F4" s="136"/>
      <c r="G4" s="136"/>
      <c r="I4" s="130" t="s">
        <v>36</v>
      </c>
      <c r="P4" s="9">
        <v>2</v>
      </c>
      <c r="Q4" s="135">
        <f>R3-R2</f>
        <v>133816</v>
      </c>
      <c r="R4" s="135">
        <f>Q4*(1+R1)</f>
        <v>145371.0116</v>
      </c>
      <c r="T4" s="9">
        <v>2</v>
      </c>
      <c r="U4" s="135">
        <f>V3-V2</f>
        <v>132075.96</v>
      </c>
      <c r="V4" s="135">
        <f>U4*(1+V1)</f>
        <v>142044.36006200998</v>
      </c>
    </row>
    <row r="5" spans="1:22" x14ac:dyDescent="0.25">
      <c r="A5" s="9">
        <v>2000</v>
      </c>
      <c r="B5" s="136">
        <v>3.39E-2</v>
      </c>
      <c r="C5" s="136">
        <v>0.17799999999999999</v>
      </c>
      <c r="D5" s="179">
        <f>0.5*(G5-G5*0.05) +  (0.5*(F5-F5*0.13))</f>
        <v>0.1585125</v>
      </c>
      <c r="E5" s="200">
        <v>1178</v>
      </c>
      <c r="F5" s="180">
        <v>0.26350000000000001</v>
      </c>
      <c r="G5" s="136">
        <v>9.2399999999999996E-2</v>
      </c>
      <c r="I5" s="9">
        <v>1</v>
      </c>
      <c r="J5" s="9" t="s">
        <v>97</v>
      </c>
      <c r="K5" s="137" t="s">
        <v>73</v>
      </c>
      <c r="L5" s="138" t="s">
        <v>6</v>
      </c>
      <c r="M5" s="139">
        <f>5*C4</f>
        <v>0.43175000000000008</v>
      </c>
      <c r="N5" s="140">
        <f>M5/M6</f>
        <v>2.3212365591397854</v>
      </c>
      <c r="P5" s="9">
        <v>3</v>
      </c>
      <c r="Q5" s="135">
        <f>R4-R2</f>
        <v>105371.0116</v>
      </c>
      <c r="R5" s="135">
        <f>Q5*(1+R1)</f>
        <v>114469.79845166</v>
      </c>
      <c r="T5" s="9">
        <v>3</v>
      </c>
      <c r="U5" s="135">
        <f>V4-V2</f>
        <v>102044.36006200998</v>
      </c>
      <c r="V5" s="135">
        <f>U5*(1+V1)</f>
        <v>109746.13262660016</v>
      </c>
    </row>
    <row r="6" spans="1:22" ht="15.75" thickBot="1" x14ac:dyDescent="0.3">
      <c r="A6" s="9">
        <v>2001</v>
      </c>
      <c r="B6" s="136">
        <v>1.55E-2</v>
      </c>
      <c r="C6" s="136">
        <v>8.6999999999999994E-2</v>
      </c>
      <c r="D6" s="179">
        <f t="shared" ref="D6:D69" si="0">0.5*(G6-G6*0.05) +  (0.5*(F6-F6*0.13))</f>
        <v>7.7710000000000001E-2</v>
      </c>
      <c r="E6" s="141">
        <v>1280</v>
      </c>
      <c r="F6" s="180">
        <v>0.1235</v>
      </c>
      <c r="G6" s="136">
        <v>5.0500000000000003E-2</v>
      </c>
      <c r="I6" s="9">
        <v>2</v>
      </c>
      <c r="J6" s="9" t="s">
        <v>97</v>
      </c>
      <c r="K6" s="142"/>
      <c r="L6" s="143" t="s">
        <v>7</v>
      </c>
      <c r="M6" s="176">
        <v>0.186</v>
      </c>
      <c r="N6" s="145"/>
      <c r="P6" s="9">
        <v>4</v>
      </c>
      <c r="Q6" s="135">
        <f>R5-R2</f>
        <v>74469.798451659997</v>
      </c>
      <c r="R6" s="135">
        <f>Q6*(1+R1)</f>
        <v>80900.265547960837</v>
      </c>
      <c r="T6" s="9">
        <v>4</v>
      </c>
      <c r="U6" s="135">
        <f>V5-V2</f>
        <v>69746.132626600156</v>
      </c>
      <c r="V6" s="135">
        <f>U6*(1+V1)</f>
        <v>75010.204550059643</v>
      </c>
    </row>
    <row r="7" spans="1:22" ht="15.75" thickBot="1" x14ac:dyDescent="0.3">
      <c r="A7" s="9">
        <v>2002</v>
      </c>
      <c r="B7" s="136">
        <v>2.3800000000000002E-2</v>
      </c>
      <c r="C7" s="136">
        <v>5.8299999999999998E-2</v>
      </c>
      <c r="D7" s="179">
        <f t="shared" si="0"/>
        <v>5.3885000000000002E-2</v>
      </c>
      <c r="E7" s="141">
        <v>1355</v>
      </c>
      <c r="F7" s="180">
        <v>3.7499999999999999E-2</v>
      </c>
      <c r="G7" s="136">
        <v>7.9100000000000004E-2</v>
      </c>
      <c r="I7" s="9">
        <v>3</v>
      </c>
      <c r="J7" s="9" t="s">
        <v>97</v>
      </c>
      <c r="P7" s="9">
        <v>5</v>
      </c>
      <c r="Q7" s="135">
        <f>R6-R2</f>
        <v>40900.265547960837</v>
      </c>
      <c r="R7" s="167">
        <f>Q7*(1+R1)</f>
        <v>44432.003478027254</v>
      </c>
      <c r="T7" s="9">
        <v>5</v>
      </c>
      <c r="U7" s="135">
        <f>V6-V2</f>
        <v>35010.204550059643</v>
      </c>
      <c r="V7" s="167">
        <f>U7*(1+V1)</f>
        <v>37652.590985924253</v>
      </c>
    </row>
    <row r="8" spans="1:22" x14ac:dyDescent="0.25">
      <c r="A8" s="9">
        <v>2003</v>
      </c>
      <c r="B8" s="136">
        <v>1.8800000000000001E-2</v>
      </c>
      <c r="C8" s="136">
        <v>0.2006</v>
      </c>
      <c r="D8" s="179">
        <f t="shared" si="0"/>
        <v>0.17626249999999999</v>
      </c>
      <c r="E8" s="141">
        <v>1627</v>
      </c>
      <c r="F8" s="180">
        <v>0.35649999999999998</v>
      </c>
      <c r="G8" s="136">
        <v>4.4600000000000001E-2</v>
      </c>
      <c r="I8" s="9">
        <v>4</v>
      </c>
      <c r="J8" s="9" t="s">
        <v>97</v>
      </c>
      <c r="K8" s="146" t="s">
        <v>139</v>
      </c>
      <c r="L8" s="147" t="s">
        <v>6</v>
      </c>
      <c r="M8" s="148">
        <f>D4*5</f>
        <v>0.37737375000000006</v>
      </c>
      <c r="N8" s="149">
        <f>M8/M9</f>
        <v>2.0288911290322584</v>
      </c>
    </row>
    <row r="9" spans="1:22" ht="15.75" thickBot="1" x14ac:dyDescent="0.3">
      <c r="A9" s="9">
        <v>2004</v>
      </c>
      <c r="B9" s="136">
        <v>3.2599999999999997E-2</v>
      </c>
      <c r="C9" s="136">
        <v>0.1699</v>
      </c>
      <c r="D9" s="179">
        <f t="shared" si="0"/>
        <v>0.14914849999999999</v>
      </c>
      <c r="E9" s="141">
        <v>1903</v>
      </c>
      <c r="F9" s="180">
        <v>0.30759999999999998</v>
      </c>
      <c r="G9" s="136">
        <v>3.2300000000000002E-2</v>
      </c>
      <c r="H9" s="136" t="s">
        <v>36</v>
      </c>
      <c r="I9" s="9">
        <v>1</v>
      </c>
      <c r="J9" s="9" t="s">
        <v>96</v>
      </c>
      <c r="K9" s="150"/>
      <c r="L9" s="151" t="s">
        <v>7</v>
      </c>
      <c r="M9" s="190">
        <f>M6</f>
        <v>0.186</v>
      </c>
      <c r="N9" s="153"/>
    </row>
    <row r="10" spans="1:22" x14ac:dyDescent="0.25">
      <c r="A10" s="9">
        <v>2005</v>
      </c>
      <c r="B10" s="136">
        <v>3.4200000000000001E-2</v>
      </c>
      <c r="C10" s="136">
        <v>7.0599999999999996E-2</v>
      </c>
      <c r="D10" s="179">
        <f t="shared" si="0"/>
        <v>6.23615E-2</v>
      </c>
      <c r="E10" s="141">
        <v>2038</v>
      </c>
      <c r="F10" s="180">
        <v>0.11890000000000001</v>
      </c>
      <c r="G10" s="136">
        <v>2.24E-2</v>
      </c>
      <c r="H10" s="136" t="s">
        <v>36</v>
      </c>
      <c r="I10" s="9">
        <v>2</v>
      </c>
      <c r="P10" s="9" t="s">
        <v>10</v>
      </c>
      <c r="T10" s="9" t="s">
        <v>10</v>
      </c>
    </row>
    <row r="11" spans="1:22" x14ac:dyDescent="0.25">
      <c r="A11" s="9">
        <v>2006</v>
      </c>
      <c r="B11" s="136">
        <v>2.5399999999999999E-2</v>
      </c>
      <c r="C11" s="136">
        <v>0.19750000000000001</v>
      </c>
      <c r="D11" s="179">
        <f t="shared" si="0"/>
        <v>0.173597</v>
      </c>
      <c r="E11" s="141">
        <v>2440</v>
      </c>
      <c r="F11" s="180">
        <v>0.35070000000000001</v>
      </c>
      <c r="G11" s="136">
        <v>4.4299999999999999E-2</v>
      </c>
      <c r="H11" s="136" t="s">
        <v>36</v>
      </c>
      <c r="I11" s="9">
        <v>3</v>
      </c>
      <c r="P11" s="9" t="s">
        <v>11</v>
      </c>
      <c r="T11" s="9" t="s">
        <v>11</v>
      </c>
    </row>
    <row r="12" spans="1:22" x14ac:dyDescent="0.25">
      <c r="A12" s="9">
        <v>2007</v>
      </c>
      <c r="B12" s="136">
        <v>4.0800000000000003E-2</v>
      </c>
      <c r="C12" s="136">
        <v>-6.5199999999999994E-2</v>
      </c>
      <c r="D12" s="179">
        <f t="shared" si="0"/>
        <v>-5.5308499999999997E-2</v>
      </c>
      <c r="E12" s="141">
        <v>2281</v>
      </c>
      <c r="F12" s="180">
        <v>-0.1646</v>
      </c>
      <c r="G12" s="136">
        <v>3.4299999999999997E-2</v>
      </c>
      <c r="H12" s="136" t="s">
        <v>36</v>
      </c>
      <c r="I12" s="9">
        <v>4</v>
      </c>
    </row>
    <row r="13" spans="1:22" x14ac:dyDescent="0.25">
      <c r="A13" s="9">
        <v>2008</v>
      </c>
      <c r="B13" s="136">
        <v>8.9999999999999998E-4</v>
      </c>
      <c r="C13" s="136">
        <v>-0.18590000000000001</v>
      </c>
      <c r="D13" s="179">
        <f>0.5*(G13) +  (0.5*(F13))</f>
        <v>-0.18595</v>
      </c>
      <c r="E13" s="141">
        <v>1857</v>
      </c>
      <c r="F13" s="201">
        <v>-0.3705</v>
      </c>
      <c r="G13" s="165">
        <v>-1.4E-3</v>
      </c>
      <c r="H13" s="136" t="s">
        <v>36</v>
      </c>
      <c r="I13" s="9">
        <v>5</v>
      </c>
    </row>
    <row r="14" spans="1:22" x14ac:dyDescent="0.25">
      <c r="A14" s="9">
        <v>2009</v>
      </c>
      <c r="B14" s="136">
        <v>2.7199999999999998E-2</v>
      </c>
      <c r="C14" s="136">
        <v>0.19900000000000001</v>
      </c>
      <c r="D14" s="179">
        <f t="shared" si="0"/>
        <v>0.17721800000000001</v>
      </c>
      <c r="E14" s="141">
        <v>2227</v>
      </c>
      <c r="F14" s="180">
        <v>0.29580000000000001</v>
      </c>
      <c r="G14" s="136">
        <v>0.1022</v>
      </c>
      <c r="H14" s="136" t="s">
        <v>36</v>
      </c>
      <c r="I14" s="9">
        <v>6</v>
      </c>
    </row>
    <row r="15" spans="1:22" x14ac:dyDescent="0.25">
      <c r="A15" s="9">
        <v>2010</v>
      </c>
      <c r="B15" s="136">
        <v>1.4999999999999999E-2</v>
      </c>
      <c r="C15" s="136">
        <v>0.1522</v>
      </c>
      <c r="D15" s="179">
        <f t="shared" si="0"/>
        <v>0.13322249999999999</v>
      </c>
      <c r="E15" s="141">
        <v>2566</v>
      </c>
      <c r="F15" s="180">
        <v>0.28299999999999997</v>
      </c>
      <c r="G15" s="136">
        <v>2.1299999999999999E-2</v>
      </c>
      <c r="H15" s="136" t="s">
        <v>36</v>
      </c>
      <c r="I15" s="9">
        <v>7</v>
      </c>
    </row>
    <row r="16" spans="1:22" x14ac:dyDescent="0.25">
      <c r="A16" s="9">
        <v>2011</v>
      </c>
      <c r="B16" s="136">
        <v>2.9600000000000001E-2</v>
      </c>
      <c r="C16" s="136">
        <v>9.0399999999999994E-2</v>
      </c>
      <c r="D16" s="179">
        <f t="shared" si="0"/>
        <v>8.2539500000000002E-2</v>
      </c>
      <c r="E16" s="141">
        <v>2798</v>
      </c>
      <c r="F16" s="180">
        <v>8.4699999999999998E-2</v>
      </c>
      <c r="G16" s="136">
        <v>9.6199999999999994E-2</v>
      </c>
      <c r="H16" s="136" t="s">
        <v>36</v>
      </c>
      <c r="I16" s="9">
        <v>8</v>
      </c>
    </row>
    <row r="17" spans="1:11" x14ac:dyDescent="0.25">
      <c r="A17" s="9">
        <v>2012</v>
      </c>
      <c r="B17" s="136">
        <v>1.7399999999999999E-2</v>
      </c>
      <c r="C17" s="136">
        <v>0.11609999999999999</v>
      </c>
      <c r="D17" s="179">
        <f t="shared" si="0"/>
        <v>0.10333050000000001</v>
      </c>
      <c r="E17" s="141">
        <v>3122</v>
      </c>
      <c r="F17" s="180">
        <v>0.17530000000000001</v>
      </c>
      <c r="G17" s="136">
        <v>5.7000000000000002E-2</v>
      </c>
      <c r="H17" s="136" t="s">
        <v>36</v>
      </c>
      <c r="I17" s="9">
        <v>9</v>
      </c>
    </row>
    <row r="18" spans="1:11" x14ac:dyDescent="0.25">
      <c r="A18" s="9">
        <v>2013</v>
      </c>
      <c r="B18" s="136">
        <v>1.4999999999999999E-2</v>
      </c>
      <c r="C18" s="136">
        <v>3.8E-3</v>
      </c>
      <c r="D18" s="179">
        <f>0.5*(G18) +  (0.5*(F18-F18*0.13))</f>
        <v>2.2485000000000005E-3</v>
      </c>
      <c r="E18" s="141">
        <v>3134</v>
      </c>
      <c r="F18" s="180">
        <v>2.3099999999999999E-2</v>
      </c>
      <c r="G18" s="165">
        <v>-1.5599999999999999E-2</v>
      </c>
      <c r="H18" s="136" t="s">
        <v>36</v>
      </c>
      <c r="I18" s="9">
        <v>10</v>
      </c>
    </row>
    <row r="19" spans="1:11" x14ac:dyDescent="0.25">
      <c r="A19" s="9">
        <v>2014</v>
      </c>
      <c r="B19" s="136">
        <v>7.6E-3</v>
      </c>
      <c r="C19" s="136">
        <v>0.18690000000000001</v>
      </c>
      <c r="D19" s="179">
        <f t="shared" si="0"/>
        <v>0.16550300000000001</v>
      </c>
      <c r="E19" s="141">
        <v>3720</v>
      </c>
      <c r="F19" s="180">
        <v>0.30130000000000001</v>
      </c>
      <c r="G19" s="136">
        <v>7.2499999999999995E-2</v>
      </c>
      <c r="H19" s="136" t="s">
        <v>36</v>
      </c>
      <c r="I19" s="9">
        <v>11</v>
      </c>
    </row>
    <row r="20" spans="1:11" x14ac:dyDescent="0.25">
      <c r="A20" s="9">
        <v>2015</v>
      </c>
      <c r="B20" s="136">
        <v>7.3000000000000001E-3</v>
      </c>
      <c r="C20" s="136">
        <v>2.5399999999999999E-2</v>
      </c>
      <c r="D20" s="179">
        <f t="shared" si="0"/>
        <v>2.3241999999999999E-2</v>
      </c>
      <c r="E20" s="141">
        <v>3814</v>
      </c>
      <c r="F20" s="180">
        <v>2.2200000000000001E-2</v>
      </c>
      <c r="G20" s="136">
        <v>2.86E-2</v>
      </c>
      <c r="H20" s="136" t="s">
        <v>36</v>
      </c>
      <c r="I20" s="9">
        <v>12</v>
      </c>
    </row>
    <row r="21" spans="1:11" x14ac:dyDescent="0.25">
      <c r="A21" s="9">
        <v>2016</v>
      </c>
      <c r="B21" s="136">
        <v>2.07E-2</v>
      </c>
      <c r="C21" s="136">
        <v>4.2099999999999999E-2</v>
      </c>
      <c r="D21" s="179">
        <f t="shared" si="0"/>
        <v>3.6658999999999997E-2</v>
      </c>
      <c r="E21" s="141">
        <v>3975</v>
      </c>
      <c r="F21" s="180">
        <v>8.3400000000000002E-2</v>
      </c>
      <c r="G21" s="136">
        <v>8.0000000000000004E-4</v>
      </c>
      <c r="H21" s="136" t="s">
        <v>36</v>
      </c>
      <c r="I21" s="9">
        <v>13</v>
      </c>
    </row>
    <row r="22" spans="1:11" x14ac:dyDescent="0.25">
      <c r="A22" s="9">
        <v>2017</v>
      </c>
      <c r="B22" s="136">
        <v>2.1100000000000001E-2</v>
      </c>
      <c r="C22" s="136">
        <v>4.6800000000000001E-2</v>
      </c>
      <c r="D22" s="179">
        <f t="shared" si="0"/>
        <v>4.2527999999999996E-2</v>
      </c>
      <c r="E22" s="141">
        <v>4161</v>
      </c>
      <c r="F22" s="180">
        <v>4.8300000000000003E-2</v>
      </c>
      <c r="G22" s="136">
        <v>4.53E-2</v>
      </c>
      <c r="H22" s="136" t="s">
        <v>36</v>
      </c>
      <c r="I22" s="9">
        <v>14</v>
      </c>
    </row>
    <row r="23" spans="1:11" x14ac:dyDescent="0.25">
      <c r="A23" s="9">
        <v>2018</v>
      </c>
      <c r="B23" s="136">
        <v>1.9099999999999999E-2</v>
      </c>
      <c r="C23" s="136">
        <v>-2.4299999999999999E-2</v>
      </c>
      <c r="D23" s="179">
        <f>0.5*(G23-G23*0.05) +  (0.5*(F23))</f>
        <v>-2.4612500000000002E-2</v>
      </c>
      <c r="E23" s="141">
        <v>4060</v>
      </c>
      <c r="F23" s="201">
        <v>-6.1100000000000002E-2</v>
      </c>
      <c r="G23" s="136">
        <v>1.2500000000000001E-2</v>
      </c>
      <c r="H23" s="136" t="s">
        <v>36</v>
      </c>
      <c r="I23" s="9">
        <v>15</v>
      </c>
    </row>
    <row r="24" spans="1:11" x14ac:dyDescent="0.25">
      <c r="A24" s="9">
        <v>2019</v>
      </c>
      <c r="B24" s="136">
        <v>2.29E-2</v>
      </c>
      <c r="C24" s="136">
        <v>0.17780000000000001</v>
      </c>
      <c r="D24" s="179">
        <f t="shared" si="0"/>
        <v>0.15739799999999998</v>
      </c>
      <c r="E24" s="141">
        <v>4782</v>
      </c>
      <c r="F24" s="180">
        <v>0.2878</v>
      </c>
      <c r="G24" s="136">
        <v>6.7799999999999999E-2</v>
      </c>
      <c r="H24" s="136" t="s">
        <v>36</v>
      </c>
      <c r="I24" s="9">
        <v>15</v>
      </c>
    </row>
    <row r="25" spans="1:11" x14ac:dyDescent="0.25">
      <c r="A25" s="9" t="s">
        <v>36</v>
      </c>
      <c r="B25" s="136"/>
      <c r="C25" s="136"/>
      <c r="D25" s="179" t="s">
        <v>36</v>
      </c>
      <c r="E25" s="141"/>
      <c r="F25" s="136"/>
      <c r="G25" s="136"/>
      <c r="H25" s="136"/>
    </row>
    <row r="26" spans="1:11" x14ac:dyDescent="0.25">
      <c r="A26" s="9" t="s">
        <v>36</v>
      </c>
      <c r="B26" s="136"/>
      <c r="C26" s="136"/>
      <c r="D26" s="179" t="s">
        <v>36</v>
      </c>
      <c r="E26" s="141"/>
      <c r="F26" s="136"/>
      <c r="G26" s="136"/>
      <c r="H26" s="136"/>
    </row>
    <row r="27" spans="1:11" ht="90" x14ac:dyDescent="0.25">
      <c r="A27" s="9" t="s">
        <v>0</v>
      </c>
      <c r="B27" s="9" t="s">
        <v>18</v>
      </c>
      <c r="C27" s="9" t="s">
        <v>2</v>
      </c>
      <c r="D27" s="179" t="s">
        <v>3</v>
      </c>
      <c r="F27" s="132" t="s">
        <v>65</v>
      </c>
      <c r="G27" s="132" t="s">
        <v>35</v>
      </c>
      <c r="H27" s="87"/>
      <c r="J27">
        <v>200000</v>
      </c>
      <c r="K27"/>
    </row>
    <row r="28" spans="1:11" x14ac:dyDescent="0.25">
      <c r="A28" s="9" t="s">
        <v>20</v>
      </c>
      <c r="C28" s="136"/>
      <c r="D28" s="179"/>
      <c r="G28" s="136"/>
      <c r="H28" s="87"/>
      <c r="I28" s="136"/>
      <c r="J28">
        <v>3333</v>
      </c>
      <c r="K28"/>
    </row>
    <row r="29" spans="1:11" x14ac:dyDescent="0.25">
      <c r="C29" s="136">
        <f>AVERAGE(C30:C89)</f>
        <v>6.2899999999999996E-3</v>
      </c>
      <c r="D29" s="136">
        <f>AVERAGE(D30:D89)</f>
        <v>4.3507916666666669E-3</v>
      </c>
      <c r="F29" s="141"/>
      <c r="G29" s="154"/>
      <c r="H29" s="154"/>
      <c r="I29" s="136"/>
    </row>
    <row r="30" spans="1:11" x14ac:dyDescent="0.25">
      <c r="A30" s="9">
        <v>2008</v>
      </c>
      <c r="B30" s="9">
        <v>1</v>
      </c>
      <c r="C30" s="136">
        <v>6.4000000000000003E-3</v>
      </c>
      <c r="D30" s="180">
        <f>0.5*(F30)+0.5*(G30-G30*0.05)</f>
        <v>6.0424999999999993E-3</v>
      </c>
      <c r="E30" s="202">
        <v>197954</v>
      </c>
      <c r="F30" s="165">
        <v>-3.3999999999999998E-3</v>
      </c>
      <c r="G30" s="154">
        <v>1.6299999999999999E-2</v>
      </c>
      <c r="H30" s="154"/>
      <c r="I30" s="136"/>
      <c r="J30">
        <f>J27-J28</f>
        <v>196667</v>
      </c>
      <c r="K30" s="6">
        <f>J30+(J30*D30)</f>
        <v>197855.36034750001</v>
      </c>
    </row>
    <row r="31" spans="1:11" x14ac:dyDescent="0.25">
      <c r="A31" s="9">
        <v>2008</v>
      </c>
      <c r="B31" s="9">
        <v>2</v>
      </c>
      <c r="C31" s="136">
        <v>-3.9100000000000003E-2</v>
      </c>
      <c r="D31" s="180">
        <f>0.5*(F31)+0.5*(G31)</f>
        <v>-3.9050000000000001E-2</v>
      </c>
      <c r="E31" s="202">
        <v>186889</v>
      </c>
      <c r="F31" s="165">
        <v>-3.73E-2</v>
      </c>
      <c r="G31" s="165">
        <v>-4.0800000000000003E-2</v>
      </c>
      <c r="H31" s="154"/>
      <c r="I31" s="136"/>
      <c r="J31" s="135">
        <f>K30-$J$28</f>
        <v>194522.36034750001</v>
      </c>
      <c r="K31" s="6">
        <f t="shared" ref="K31:K88" si="1">J31+(J31*D31)</f>
        <v>186926.26217593014</v>
      </c>
    </row>
    <row r="32" spans="1:11" x14ac:dyDescent="0.25">
      <c r="A32" s="9">
        <v>2008</v>
      </c>
      <c r="B32" s="9">
        <v>3</v>
      </c>
      <c r="C32" s="136">
        <v>4.5199999999999997E-2</v>
      </c>
      <c r="D32" s="180">
        <f>0.5*(F32-F32*0.13)+0.5*(G32-G32*0.05)</f>
        <v>4.0502499999999997E-2</v>
      </c>
      <c r="E32" s="202">
        <v>191994</v>
      </c>
      <c r="F32" s="154">
        <v>6.4500000000000002E-2</v>
      </c>
      <c r="G32" s="154">
        <v>2.6200000000000001E-2</v>
      </c>
      <c r="H32" s="154"/>
      <c r="I32" s="136"/>
      <c r="J32" s="135">
        <f t="shared" ref="J31:J89" si="2">K31-$J$28</f>
        <v>183593.26217593014</v>
      </c>
      <c r="K32" s="6">
        <f t="shared" si="1"/>
        <v>191029.24827721075</v>
      </c>
    </row>
    <row r="33" spans="1:11" x14ac:dyDescent="0.25">
      <c r="A33" s="9">
        <v>2008</v>
      </c>
      <c r="B33" s="9">
        <v>4</v>
      </c>
      <c r="C33" s="136">
        <v>3.4000000000000002E-2</v>
      </c>
      <c r="D33" s="180">
        <f t="shared" ref="D31:D94" si="3">0.5*(F33-F33*0.13)+0.5*(G33-G33*0.05)</f>
        <v>2.9753999999999999E-2</v>
      </c>
      <c r="E33" s="202">
        <v>195193</v>
      </c>
      <c r="F33" s="154">
        <v>5.8900000000000001E-2</v>
      </c>
      <c r="G33" s="154">
        <v>8.6999999999999994E-3</v>
      </c>
      <c r="H33" s="154"/>
      <c r="I33" s="136"/>
      <c r="J33" s="135">
        <f t="shared" si="2"/>
        <v>187696.24827721075</v>
      </c>
      <c r="K33" s="6">
        <f t="shared" si="1"/>
        <v>193280.96244845088</v>
      </c>
    </row>
    <row r="34" spans="1:11" x14ac:dyDescent="0.25">
      <c r="A34" s="9">
        <v>2008</v>
      </c>
      <c r="B34" s="9">
        <v>5</v>
      </c>
      <c r="C34" s="136">
        <v>3.5000000000000001E-3</v>
      </c>
      <c r="D34" s="180">
        <f t="shared" si="3"/>
        <v>3.3165E-3</v>
      </c>
      <c r="E34" s="202">
        <v>192534</v>
      </c>
      <c r="F34" s="154">
        <v>1.4E-3</v>
      </c>
      <c r="G34" s="154">
        <v>5.7000000000000002E-3</v>
      </c>
      <c r="H34" s="154"/>
      <c r="I34" s="136"/>
      <c r="J34" s="135">
        <f t="shared" si="2"/>
        <v>189947.96244845088</v>
      </c>
      <c r="K34" s="6">
        <f t="shared" si="1"/>
        <v>190577.92486591116</v>
      </c>
    </row>
    <row r="35" spans="1:11" x14ac:dyDescent="0.25">
      <c r="A35" s="9">
        <v>2008</v>
      </c>
      <c r="B35" s="9">
        <v>6</v>
      </c>
      <c r="C35" s="136">
        <v>-6.0600000000000001E-2</v>
      </c>
      <c r="D35" s="180">
        <f>0.5*(F35)+0.5*(G35)</f>
        <v>-5.9000000000000004E-2</v>
      </c>
      <c r="E35" s="202">
        <v>177539</v>
      </c>
      <c r="F35" s="165">
        <v>-0.1077</v>
      </c>
      <c r="G35" s="165">
        <v>-1.03E-2</v>
      </c>
      <c r="H35" s="154"/>
      <c r="I35" s="136"/>
      <c r="J35" s="135">
        <f t="shared" si="2"/>
        <v>187244.92486591116</v>
      </c>
      <c r="K35" s="6">
        <f t="shared" si="1"/>
        <v>176197.4742988224</v>
      </c>
    </row>
    <row r="36" spans="1:11" x14ac:dyDescent="0.25">
      <c r="A36" s="9">
        <v>2008</v>
      </c>
      <c r="B36" s="9">
        <v>7</v>
      </c>
      <c r="C36" s="136">
        <v>1.84E-2</v>
      </c>
      <c r="D36" s="180">
        <f t="shared" si="3"/>
        <v>1.6410000000000001E-2</v>
      </c>
      <c r="E36" s="202">
        <v>177467</v>
      </c>
      <c r="F36" s="154">
        <v>3.15E-2</v>
      </c>
      <c r="G36" s="154">
        <v>5.7000000000000002E-3</v>
      </c>
      <c r="H36" s="154"/>
      <c r="I36" s="136"/>
      <c r="J36" s="135">
        <f t="shared" si="2"/>
        <v>172864.4742988224</v>
      </c>
      <c r="K36" s="6">
        <f t="shared" si="1"/>
        <v>175701.18032206607</v>
      </c>
    </row>
    <row r="37" spans="1:11" x14ac:dyDescent="0.25">
      <c r="A37" s="9">
        <v>2008</v>
      </c>
      <c r="B37" s="9">
        <v>8</v>
      </c>
      <c r="C37" s="136">
        <v>1.7100000000000001E-2</v>
      </c>
      <c r="D37" s="180">
        <f t="shared" si="3"/>
        <v>1.53925E-2</v>
      </c>
      <c r="E37" s="202">
        <v>177174</v>
      </c>
      <c r="F37" s="154">
        <v>2.2499999999999999E-2</v>
      </c>
      <c r="G37" s="154">
        <v>1.18E-2</v>
      </c>
      <c r="H37" s="154"/>
      <c r="I37" s="136"/>
      <c r="J37" s="135">
        <f t="shared" si="2"/>
        <v>172368.18032206607</v>
      </c>
      <c r="K37" s="6">
        <f t="shared" si="1"/>
        <v>175021.35753767347</v>
      </c>
    </row>
    <row r="38" spans="1:11" x14ac:dyDescent="0.25">
      <c r="A38" s="9">
        <v>2008</v>
      </c>
      <c r="B38" s="9">
        <v>9</v>
      </c>
      <c r="C38" s="136">
        <v>-2.0199999999999999E-2</v>
      </c>
      <c r="D38" s="180">
        <f>0.5*(F38)+0.5*(G38)</f>
        <v>-2.0149999999999998E-2</v>
      </c>
      <c r="E38" s="202">
        <v>170266</v>
      </c>
      <c r="F38" s="165">
        <v>-1.1000000000000001E-3</v>
      </c>
      <c r="G38" s="165">
        <v>-3.9199999999999999E-2</v>
      </c>
      <c r="H38" s="154"/>
      <c r="I38" s="136"/>
      <c r="J38" s="135">
        <f t="shared" si="2"/>
        <v>171688.35753767347</v>
      </c>
      <c r="K38" s="6">
        <f t="shared" si="1"/>
        <v>168228.83713328934</v>
      </c>
    </row>
    <row r="39" spans="1:11" x14ac:dyDescent="0.25">
      <c r="A39" s="9">
        <v>2008</v>
      </c>
      <c r="B39" s="9">
        <v>10</v>
      </c>
      <c r="C39" s="136">
        <v>-0.15840000000000001</v>
      </c>
      <c r="D39" s="180">
        <f>0.5*(F39)+0.5*(G39-G39*0.05)</f>
        <v>-0.15558000000000002</v>
      </c>
      <c r="E39" s="202">
        <v>139968</v>
      </c>
      <c r="F39" s="165">
        <v>-0.31230000000000002</v>
      </c>
      <c r="G39" s="154">
        <v>1.1999999999999999E-3</v>
      </c>
      <c r="H39" s="154"/>
      <c r="I39" s="136"/>
      <c r="J39" s="135">
        <f t="shared" si="2"/>
        <v>164895.83713328934</v>
      </c>
      <c r="K39" s="6">
        <f t="shared" si="1"/>
        <v>139241.34279209218</v>
      </c>
    </row>
    <row r="40" spans="1:11" x14ac:dyDescent="0.25">
      <c r="A40" s="9">
        <v>2008</v>
      </c>
      <c r="B40" s="9">
        <v>11</v>
      </c>
      <c r="C40" s="136">
        <v>-9.6199999999999994E-2</v>
      </c>
      <c r="D40" s="180">
        <f>0.5*(F40)+0.5*(G40-G40*0.05)</f>
        <v>-0.116095</v>
      </c>
      <c r="E40" s="202">
        <v>123167</v>
      </c>
      <c r="F40" s="165">
        <v>-0.2339</v>
      </c>
      <c r="G40" s="154">
        <v>1.8E-3</v>
      </c>
      <c r="H40" s="154"/>
      <c r="I40" s="136"/>
      <c r="J40" s="135">
        <f t="shared" si="2"/>
        <v>135908.34279209218</v>
      </c>
      <c r="K40" s="6">
        <f t="shared" si="1"/>
        <v>120130.06373564425</v>
      </c>
    </row>
    <row r="41" spans="1:11" x14ac:dyDescent="0.25">
      <c r="A41" s="9">
        <v>2008</v>
      </c>
      <c r="B41" s="9">
        <v>12</v>
      </c>
      <c r="C41" s="136">
        <v>7.0300000000000001E-2</v>
      </c>
      <c r="D41" s="180">
        <f t="shared" si="3"/>
        <v>8.2249000000000003E-2</v>
      </c>
      <c r="E41" s="202">
        <v>128491</v>
      </c>
      <c r="F41" s="154">
        <v>0.1739</v>
      </c>
      <c r="G41" s="154">
        <v>1.3899999999999999E-2</v>
      </c>
      <c r="H41" s="154"/>
      <c r="I41" s="136"/>
      <c r="J41" s="135">
        <f t="shared" si="2"/>
        <v>116797.06373564425</v>
      </c>
      <c r="K41" s="6">
        <f t="shared" si="1"/>
        <v>126403.50543083725</v>
      </c>
    </row>
    <row r="42" spans="1:11" x14ac:dyDescent="0.25">
      <c r="A42" s="9">
        <v>2009</v>
      </c>
      <c r="B42" s="9">
        <v>1</v>
      </c>
      <c r="C42" s="136">
        <v>-6.83E-2</v>
      </c>
      <c r="D42" s="180">
        <f>0.5*(F42)+0.5*(G42-G42*0.05)</f>
        <v>-6.9232500000000002E-2</v>
      </c>
      <c r="E42" s="202">
        <v>116380</v>
      </c>
      <c r="F42" s="165">
        <v>-0.1739</v>
      </c>
      <c r="G42" s="154">
        <v>3.73E-2</v>
      </c>
      <c r="H42" s="154"/>
      <c r="I42" s="136"/>
      <c r="J42" s="135">
        <f t="shared" si="2"/>
        <v>123070.50543083725</v>
      </c>
      <c r="K42" s="6">
        <f t="shared" si="1"/>
        <v>114550.02666359681</v>
      </c>
    </row>
    <row r="43" spans="1:11" x14ac:dyDescent="0.25">
      <c r="A43" s="9">
        <v>2009</v>
      </c>
      <c r="B43" s="9">
        <v>2</v>
      </c>
      <c r="C43" s="136">
        <v>-9.4600000000000004E-2</v>
      </c>
      <c r="D43" s="180">
        <f>0.5*(F43)+0.5*(G43)</f>
        <v>-0.1061</v>
      </c>
      <c r="E43" s="202">
        <v>102041</v>
      </c>
      <c r="F43" s="165">
        <v>-0.20760000000000001</v>
      </c>
      <c r="G43" s="165">
        <v>-4.5999999999999999E-3</v>
      </c>
      <c r="H43" s="154"/>
      <c r="I43" s="136"/>
      <c r="J43" s="135">
        <f t="shared" si="2"/>
        <v>111217.02666359681</v>
      </c>
      <c r="K43" s="6">
        <f t="shared" si="1"/>
        <v>99416.900134589188</v>
      </c>
    </row>
    <row r="44" spans="1:11" x14ac:dyDescent="0.25">
      <c r="A44" s="9">
        <v>2009</v>
      </c>
      <c r="B44" s="9">
        <v>3</v>
      </c>
      <c r="C44" s="136">
        <v>1.34E-2</v>
      </c>
      <c r="D44" s="180">
        <f t="shared" si="3"/>
        <v>1.5406000000000003E-2</v>
      </c>
      <c r="E44" s="202">
        <v>100071</v>
      </c>
      <c r="F44" s="154">
        <v>3.7600000000000001E-2</v>
      </c>
      <c r="G44" s="154">
        <v>-2E-3</v>
      </c>
      <c r="H44" s="154"/>
      <c r="I44" s="136"/>
      <c r="J44" s="135">
        <f t="shared" si="2"/>
        <v>96083.900134589188</v>
      </c>
      <c r="K44" s="6">
        <f t="shared" si="1"/>
        <v>97564.16870006267</v>
      </c>
    </row>
    <row r="45" spans="1:11" x14ac:dyDescent="0.25">
      <c r="A45" s="9">
        <v>2009</v>
      </c>
      <c r="B45" s="9">
        <v>4</v>
      </c>
      <c r="C45" s="136">
        <v>0.13519999999999999</v>
      </c>
      <c r="D45" s="180">
        <f t="shared" si="3"/>
        <v>0.144701</v>
      </c>
      <c r="E45" s="202">
        <v>110267</v>
      </c>
      <c r="F45" s="154">
        <v>0.31309999999999999</v>
      </c>
      <c r="G45" s="154">
        <v>1.7899999999999999E-2</v>
      </c>
      <c r="H45" s="154"/>
      <c r="I45" s="136"/>
      <c r="J45" s="135">
        <f t="shared" si="2"/>
        <v>94231.16870006267</v>
      </c>
      <c r="K45" s="6">
        <f t="shared" si="1"/>
        <v>107866.51304213043</v>
      </c>
    </row>
    <row r="46" spans="1:11" x14ac:dyDescent="0.25">
      <c r="A46" s="9">
        <v>2009</v>
      </c>
      <c r="B46" s="9">
        <v>5</v>
      </c>
      <c r="C46" s="136">
        <v>1.55E-2</v>
      </c>
      <c r="D46" s="180">
        <f t="shared" si="3"/>
        <v>1.4350999999999999E-2</v>
      </c>
      <c r="E46" s="202">
        <v>108642</v>
      </c>
      <c r="F46" s="154">
        <v>2.3599999999999999E-2</v>
      </c>
      <c r="G46" s="154">
        <v>8.6E-3</v>
      </c>
      <c r="H46" s="154"/>
      <c r="I46" s="136"/>
      <c r="J46" s="135">
        <f t="shared" si="2"/>
        <v>104533.51304213043</v>
      </c>
      <c r="K46" s="6">
        <f t="shared" si="1"/>
        <v>106033.67348779805</v>
      </c>
    </row>
    <row r="47" spans="1:11" x14ac:dyDescent="0.25">
      <c r="A47" s="9">
        <v>2009</v>
      </c>
      <c r="B47" s="9">
        <v>6</v>
      </c>
      <c r="C47" s="136">
        <v>-2.0299999999999999E-2</v>
      </c>
      <c r="D47" s="180">
        <f>0.5*(F47)+0.5*(G47)</f>
        <v>-2.1100000000000001E-2</v>
      </c>
      <c r="E47" s="202">
        <v>103108</v>
      </c>
      <c r="F47" s="165">
        <v>-3.2500000000000001E-2</v>
      </c>
      <c r="G47" s="165">
        <v>-9.7000000000000003E-3</v>
      </c>
      <c r="H47" s="154"/>
      <c r="I47" s="136"/>
      <c r="J47" s="135">
        <f t="shared" si="2"/>
        <v>102700.67348779805</v>
      </c>
      <c r="K47" s="6">
        <f t="shared" si="1"/>
        <v>100533.68927720551</v>
      </c>
    </row>
    <row r="48" spans="1:11" x14ac:dyDescent="0.25">
      <c r="A48" s="9">
        <v>2009</v>
      </c>
      <c r="B48" s="9">
        <v>7</v>
      </c>
      <c r="C48" s="136">
        <v>5.8400000000000001E-2</v>
      </c>
      <c r="D48" s="180">
        <f t="shared" si="3"/>
        <v>5.4786500000000002E-2</v>
      </c>
      <c r="E48" s="202">
        <v>105792</v>
      </c>
      <c r="F48" s="154">
        <v>0.10639999999999999</v>
      </c>
      <c r="G48" s="154">
        <v>1.7899999999999999E-2</v>
      </c>
      <c r="H48" s="154"/>
      <c r="I48" s="136"/>
      <c r="J48" s="135">
        <f t="shared" si="2"/>
        <v>97200.689277205514</v>
      </c>
      <c r="K48" s="6">
        <f t="shared" si="1"/>
        <v>102525.97484029114</v>
      </c>
    </row>
    <row r="49" spans="1:11" x14ac:dyDescent="0.25">
      <c r="A49" s="9">
        <v>2009</v>
      </c>
      <c r="B49" s="9">
        <v>8</v>
      </c>
      <c r="C49" s="136">
        <v>7.3300000000000004E-2</v>
      </c>
      <c r="D49" s="180">
        <f t="shared" si="3"/>
        <v>6.6698999999999994E-2</v>
      </c>
      <c r="E49" s="202">
        <v>110215</v>
      </c>
      <c r="F49" s="154">
        <v>0.1399</v>
      </c>
      <c r="G49" s="154">
        <v>1.23E-2</v>
      </c>
      <c r="H49" s="154"/>
      <c r="I49" s="136"/>
      <c r="J49" s="135">
        <f t="shared" si="2"/>
        <v>99192.974840291135</v>
      </c>
      <c r="K49" s="6">
        <f t="shared" si="1"/>
        <v>105809.04706916372</v>
      </c>
    </row>
    <row r="50" spans="1:11" x14ac:dyDescent="0.25">
      <c r="A50" s="9">
        <v>2009</v>
      </c>
      <c r="B50" s="9">
        <v>9</v>
      </c>
      <c r="C50" s="136">
        <v>4.87E-2</v>
      </c>
      <c r="D50" s="180">
        <f t="shared" si="3"/>
        <v>4.3351500000000001E-2</v>
      </c>
      <c r="E50" s="202">
        <v>112253</v>
      </c>
      <c r="F50" s="154">
        <v>6.6900000000000001E-2</v>
      </c>
      <c r="G50" s="154">
        <v>0.03</v>
      </c>
      <c r="H50" s="154"/>
      <c r="I50" s="136"/>
      <c r="J50" s="135">
        <f t="shared" si="2"/>
        <v>102476.04706916372</v>
      </c>
      <c r="K50" s="6">
        <f t="shared" si="1"/>
        <v>106918.53742368257</v>
      </c>
    </row>
    <row r="51" spans="1:11" x14ac:dyDescent="0.25">
      <c r="A51" s="9">
        <v>2009</v>
      </c>
      <c r="B51" s="9">
        <v>10</v>
      </c>
      <c r="C51" s="136">
        <v>-3.4500000000000003E-2</v>
      </c>
      <c r="D51" s="180">
        <f>0.5*(F51)+0.5*(G51)</f>
        <v>-3.4049999999999997E-2</v>
      </c>
      <c r="E51" s="202">
        <v>105048</v>
      </c>
      <c r="F51" s="165">
        <v>-4.6399999999999997E-2</v>
      </c>
      <c r="G51" s="165">
        <v>-2.1700000000000001E-2</v>
      </c>
      <c r="H51" s="154"/>
      <c r="I51" s="136"/>
      <c r="J51" s="135">
        <f t="shared" si="2"/>
        <v>103585.53742368257</v>
      </c>
      <c r="K51" s="6">
        <f t="shared" si="1"/>
        <v>100058.44987440619</v>
      </c>
    </row>
    <row r="52" spans="1:11" x14ac:dyDescent="0.25">
      <c r="A52" s="9">
        <v>2009</v>
      </c>
      <c r="B52" s="9">
        <v>11</v>
      </c>
      <c r="C52" s="136">
        <v>4.0500000000000001E-2</v>
      </c>
      <c r="D52" s="180">
        <f t="shared" si="3"/>
        <v>3.5165000000000002E-2</v>
      </c>
      <c r="E52" s="202">
        <v>105967</v>
      </c>
      <c r="F52" s="154">
        <v>6.8500000000000005E-2</v>
      </c>
      <c r="G52" s="154">
        <v>1.1299999999999999E-2</v>
      </c>
      <c r="H52" s="154"/>
      <c r="I52" s="136"/>
      <c r="J52" s="135">
        <f t="shared" si="2"/>
        <v>96725.449874406186</v>
      </c>
      <c r="K52" s="6">
        <f t="shared" si="1"/>
        <v>100126.80031923969</v>
      </c>
    </row>
    <row r="53" spans="1:11" x14ac:dyDescent="0.25">
      <c r="A53" s="9">
        <v>2009</v>
      </c>
      <c r="B53" s="9">
        <v>12</v>
      </c>
      <c r="C53" s="136">
        <v>3.7699999999999997E-2</v>
      </c>
      <c r="D53" s="180">
        <f t="shared" si="3"/>
        <v>3.1387999999999999E-2</v>
      </c>
      <c r="E53" s="202">
        <v>106624</v>
      </c>
      <c r="F53" s="154">
        <v>7.0300000000000001E-2</v>
      </c>
      <c r="G53" s="154">
        <v>1.6999999999999999E-3</v>
      </c>
      <c r="H53" s="154"/>
      <c r="I53" s="136"/>
      <c r="J53" s="135">
        <f t="shared" si="2"/>
        <v>96793.800319239686</v>
      </c>
      <c r="K53" s="6">
        <f t="shared" si="1"/>
        <v>99831.964123659985</v>
      </c>
    </row>
    <row r="54" spans="1:11" x14ac:dyDescent="0.25">
      <c r="A54" s="9">
        <v>2010</v>
      </c>
      <c r="B54" s="9">
        <v>1</v>
      </c>
      <c r="C54" s="136">
        <v>-2.3900000000000001E-2</v>
      </c>
      <c r="D54" s="180">
        <f>0.5*(F54)+0.5*(G54-G54*0.05)</f>
        <v>-2.4034999999999997E-2</v>
      </c>
      <c r="E54" s="202">
        <v>100741</v>
      </c>
      <c r="F54" s="165">
        <v>-5.3199999999999997E-2</v>
      </c>
      <c r="G54" s="154">
        <v>5.4000000000000003E-3</v>
      </c>
      <c r="H54" s="154"/>
      <c r="I54" s="136"/>
      <c r="J54" s="135">
        <f t="shared" si="2"/>
        <v>96498.964123659985</v>
      </c>
      <c r="K54" s="6">
        <f t="shared" si="1"/>
        <v>94179.611520947816</v>
      </c>
    </row>
    <row r="55" spans="1:11" x14ac:dyDescent="0.25">
      <c r="A55" s="9">
        <v>2010</v>
      </c>
      <c r="B55" s="9">
        <v>2</v>
      </c>
      <c r="C55" s="136">
        <v>3.1800000000000002E-2</v>
      </c>
      <c r="D55" s="180">
        <f t="shared" si="3"/>
        <v>2.8655E-2</v>
      </c>
      <c r="E55" s="202">
        <v>100613</v>
      </c>
      <c r="F55" s="154">
        <v>5.5500000000000001E-2</v>
      </c>
      <c r="G55" s="154">
        <v>9.4999999999999998E-3</v>
      </c>
      <c r="H55" s="154"/>
      <c r="I55" s="136"/>
      <c r="J55" s="135">
        <f t="shared" si="2"/>
        <v>90846.611520947816</v>
      </c>
      <c r="K55" s="6">
        <f t="shared" si="1"/>
        <v>93449.821174080571</v>
      </c>
    </row>
    <row r="56" spans="1:11" x14ac:dyDescent="0.25">
      <c r="A56" s="9">
        <v>2010</v>
      </c>
      <c r="B56" s="9">
        <v>3</v>
      </c>
      <c r="C56" s="136">
        <v>4.6399999999999997E-2</v>
      </c>
      <c r="D56" s="180">
        <f t="shared" si="3"/>
        <v>4.0471500000000001E-2</v>
      </c>
      <c r="E56" s="202">
        <v>101953</v>
      </c>
      <c r="F56" s="154">
        <v>0.1009</v>
      </c>
      <c r="G56" s="154">
        <v>-7.1999999999999998E-3</v>
      </c>
      <c r="H56" s="154"/>
      <c r="I56" s="136"/>
      <c r="J56" s="135">
        <f t="shared" si="2"/>
        <v>90116.821174080571</v>
      </c>
      <c r="K56" s="6">
        <f t="shared" si="1"/>
        <v>93763.984102227376</v>
      </c>
    </row>
    <row r="57" spans="1:11" x14ac:dyDescent="0.25">
      <c r="A57" s="9">
        <v>2010</v>
      </c>
      <c r="B57" s="9">
        <v>4</v>
      </c>
      <c r="C57" s="136">
        <v>4.2000000000000003E-2</v>
      </c>
      <c r="D57" s="180">
        <f t="shared" si="3"/>
        <v>3.5829E-2</v>
      </c>
      <c r="E57" s="202">
        <v>102906</v>
      </c>
      <c r="F57" s="154">
        <v>7.0900000000000005E-2</v>
      </c>
      <c r="G57" s="154">
        <v>1.0500000000000001E-2</v>
      </c>
      <c r="H57" s="154"/>
      <c r="I57" s="136"/>
      <c r="J57" s="135">
        <f t="shared" si="2"/>
        <v>90430.984102227376</v>
      </c>
      <c r="K57" s="6">
        <f t="shared" si="1"/>
        <v>93671.035831626083</v>
      </c>
    </row>
    <row r="58" spans="1:11" x14ac:dyDescent="0.25">
      <c r="A58" s="9">
        <v>2010</v>
      </c>
      <c r="B58" s="9">
        <v>5</v>
      </c>
      <c r="C58" s="136">
        <v>-2.5499999999999998E-2</v>
      </c>
      <c r="D58" s="180">
        <f>0.5*(F58)+0.5*(G58-G58*0.05)</f>
        <v>-2.3440000000000003E-2</v>
      </c>
      <c r="E58" s="202">
        <v>96945</v>
      </c>
      <c r="F58" s="165">
        <v>-5.4100000000000002E-2</v>
      </c>
      <c r="G58" s="154">
        <v>7.6E-3</v>
      </c>
      <c r="H58" s="154"/>
      <c r="I58" s="136"/>
      <c r="J58" s="135">
        <f t="shared" si="2"/>
        <v>90338.035831626083</v>
      </c>
      <c r="K58" s="6">
        <f t="shared" si="1"/>
        <v>88220.512271732761</v>
      </c>
    </row>
    <row r="59" spans="1:11" x14ac:dyDescent="0.25">
      <c r="A59" s="9">
        <v>2010</v>
      </c>
      <c r="B59" s="9">
        <v>6</v>
      </c>
      <c r="C59" s="136">
        <v>-2.7199999999999998E-2</v>
      </c>
      <c r="D59" s="180">
        <f>0.5*(F59)+0.5*(G59-G59*0.05)</f>
        <v>-2.6152500000000002E-2</v>
      </c>
      <c r="E59" s="202">
        <v>90971</v>
      </c>
      <c r="F59" s="165">
        <v>-5.2400000000000002E-2</v>
      </c>
      <c r="G59" s="154">
        <v>1E-4</v>
      </c>
      <c r="H59" s="154"/>
      <c r="I59" s="136"/>
      <c r="J59" s="135">
        <f t="shared" si="2"/>
        <v>84887.512271732761</v>
      </c>
      <c r="K59" s="6">
        <f t="shared" si="1"/>
        <v>82667.491607046264</v>
      </c>
    </row>
    <row r="60" spans="1:11" x14ac:dyDescent="0.25">
      <c r="A60" s="9">
        <v>2010</v>
      </c>
      <c r="B60" s="9">
        <v>7</v>
      </c>
      <c r="C60" s="136">
        <v>5.5899999999999998E-2</v>
      </c>
      <c r="D60" s="180">
        <f t="shared" si="3"/>
        <v>4.8690500000000005E-2</v>
      </c>
      <c r="E60" s="202">
        <v>92727</v>
      </c>
      <c r="F60" s="154">
        <v>9.7299999999999998E-2</v>
      </c>
      <c r="G60" s="154">
        <v>1.34E-2</v>
      </c>
      <c r="H60" s="154"/>
      <c r="I60" s="136"/>
      <c r="J60" s="135">
        <f t="shared" si="2"/>
        <v>79334.491607046264</v>
      </c>
      <c r="K60" s="6">
        <f t="shared" si="1"/>
        <v>83197.327670639148</v>
      </c>
    </row>
    <row r="61" spans="1:11" x14ac:dyDescent="0.25">
      <c r="A61" s="9">
        <v>2010</v>
      </c>
      <c r="B61" s="9">
        <v>8</v>
      </c>
      <c r="C61" s="136">
        <v>4.4999999999999997E-3</v>
      </c>
      <c r="D61" s="180">
        <f>0.5*(F61)+0.5*(G61-G61*0.05)</f>
        <v>4.9150000000000001E-3</v>
      </c>
      <c r="E61" s="202">
        <v>89814</v>
      </c>
      <c r="F61" s="165">
        <v>-1.24E-2</v>
      </c>
      <c r="G61" s="154">
        <v>2.3400000000000001E-2</v>
      </c>
      <c r="H61" s="154"/>
      <c r="I61" s="136"/>
      <c r="J61" s="135">
        <f t="shared" si="2"/>
        <v>79864.327670639148</v>
      </c>
      <c r="K61" s="6">
        <f t="shared" si="1"/>
        <v>80256.86084114034</v>
      </c>
    </row>
    <row r="62" spans="1:11" x14ac:dyDescent="0.25">
      <c r="A62" s="9">
        <v>2010</v>
      </c>
      <c r="B62" s="9">
        <v>9</v>
      </c>
      <c r="C62" s="136">
        <v>2.06E-2</v>
      </c>
      <c r="D62" s="180">
        <f t="shared" si="3"/>
        <v>1.6967000000000003E-2</v>
      </c>
      <c r="E62" s="202">
        <v>88329</v>
      </c>
      <c r="F62" s="154">
        <v>4.3700000000000003E-2</v>
      </c>
      <c r="G62" s="154">
        <v>-4.3E-3</v>
      </c>
      <c r="H62" s="154"/>
      <c r="I62" s="136"/>
      <c r="J62" s="135">
        <f t="shared" si="2"/>
        <v>76923.86084114034</v>
      </c>
      <c r="K62" s="6">
        <f t="shared" si="1"/>
        <v>78229.027988031972</v>
      </c>
    </row>
    <row r="63" spans="1:11" x14ac:dyDescent="0.25">
      <c r="A63" s="9">
        <v>2010</v>
      </c>
      <c r="B63" s="9">
        <v>10</v>
      </c>
      <c r="C63" s="136">
        <v>2.3800000000000002E-2</v>
      </c>
      <c r="D63" s="180">
        <f t="shared" si="3"/>
        <v>1.9217499999999998E-2</v>
      </c>
      <c r="E63" s="202">
        <v>87096</v>
      </c>
      <c r="F63" s="154">
        <v>4.8000000000000001E-2</v>
      </c>
      <c r="G63" s="154">
        <v>-3.5000000000000001E-3</v>
      </c>
      <c r="H63" s="154"/>
      <c r="I63" s="136"/>
      <c r="J63" s="135">
        <f t="shared" si="2"/>
        <v>74896.027988031972</v>
      </c>
      <c r="K63" s="6">
        <f t="shared" si="1"/>
        <v>76335.342405891977</v>
      </c>
    </row>
    <row r="64" spans="1:11" x14ac:dyDescent="0.25">
      <c r="A64" s="9">
        <v>2010</v>
      </c>
      <c r="B64" s="9">
        <v>11</v>
      </c>
      <c r="C64" s="136">
        <v>-1.9099999999999999E-2</v>
      </c>
      <c r="D64" s="180">
        <f>0.5*(F64)+0.5*(G64)</f>
        <v>-1.89E-2</v>
      </c>
      <c r="E64" s="202">
        <v>82103</v>
      </c>
      <c r="F64" s="165">
        <v>-2.0400000000000001E-2</v>
      </c>
      <c r="G64" s="165">
        <v>-1.7399999999999999E-2</v>
      </c>
      <c r="H64" s="154"/>
      <c r="I64" s="136"/>
      <c r="J64" s="135">
        <f t="shared" si="2"/>
        <v>73002.342405891977</v>
      </c>
      <c r="K64" s="6">
        <f t="shared" si="1"/>
        <v>71622.598134420623</v>
      </c>
    </row>
    <row r="65" spans="1:11" x14ac:dyDescent="0.25">
      <c r="A65" s="9">
        <v>2010</v>
      </c>
      <c r="B65" s="9">
        <v>12</v>
      </c>
      <c r="C65" s="136">
        <v>1.8100000000000002E-2</v>
      </c>
      <c r="D65" s="180">
        <f t="shared" si="3"/>
        <v>1.2825499999999998E-2</v>
      </c>
      <c r="E65" s="202">
        <v>80252</v>
      </c>
      <c r="F65" s="154">
        <v>4.6300000000000001E-2</v>
      </c>
      <c r="G65" s="154">
        <v>-1.54E-2</v>
      </c>
      <c r="H65" s="154"/>
      <c r="I65" s="136"/>
      <c r="J65" s="135">
        <f t="shared" si="2"/>
        <v>68289.598134420623</v>
      </c>
      <c r="K65" s="6">
        <f t="shared" si="1"/>
        <v>69165.446375293628</v>
      </c>
    </row>
    <row r="66" spans="1:11" x14ac:dyDescent="0.25">
      <c r="A66" s="9">
        <v>2011</v>
      </c>
      <c r="B66" s="9">
        <v>1</v>
      </c>
      <c r="C66" s="136">
        <v>1.3299999999999999E-2</v>
      </c>
      <c r="D66" s="180">
        <f t="shared" si="3"/>
        <v>1.1307000000000001E-2</v>
      </c>
      <c r="E66" s="202">
        <v>77987</v>
      </c>
      <c r="F66" s="154">
        <v>3.32E-2</v>
      </c>
      <c r="G66" s="154">
        <v>-6.6E-3</v>
      </c>
      <c r="H66" s="154"/>
      <c r="I66" s="136"/>
      <c r="J66" s="135">
        <f t="shared" si="2"/>
        <v>65832.446375293628</v>
      </c>
      <c r="K66" s="6">
        <f t="shared" si="1"/>
        <v>66576.813846459074</v>
      </c>
    </row>
    <row r="67" spans="1:11" x14ac:dyDescent="0.25">
      <c r="A67" s="9">
        <v>2011</v>
      </c>
      <c r="B67" s="9">
        <v>2</v>
      </c>
      <c r="C67" s="136">
        <v>3.0800000000000001E-2</v>
      </c>
      <c r="D67" s="180">
        <f t="shared" si="3"/>
        <v>2.7095500000000002E-2</v>
      </c>
      <c r="E67" s="202">
        <v>77055</v>
      </c>
      <c r="F67" s="154">
        <v>4.58E-2</v>
      </c>
      <c r="G67" s="154">
        <v>1.5100000000000001E-2</v>
      </c>
      <c r="H67" s="154"/>
      <c r="I67" s="136"/>
      <c r="J67" s="135">
        <f t="shared" si="2"/>
        <v>63243.813846459074</v>
      </c>
      <c r="K67" s="6">
        <f t="shared" si="1"/>
        <v>64957.436604535804</v>
      </c>
    </row>
    <row r="68" spans="1:11" x14ac:dyDescent="0.25">
      <c r="A68" s="9">
        <v>2011</v>
      </c>
      <c r="B68" s="9">
        <v>3</v>
      </c>
      <c r="C68" s="136">
        <v>-8.8000000000000005E-3</v>
      </c>
      <c r="D68" s="180">
        <f>0.5*(F68)+0.5*(G68)</f>
        <v>-8.6E-3</v>
      </c>
      <c r="E68" s="202">
        <v>73045</v>
      </c>
      <c r="F68" s="165">
        <v>-1.44E-2</v>
      </c>
      <c r="G68" s="165">
        <v>-2.8E-3</v>
      </c>
      <c r="H68" s="154"/>
      <c r="I68" s="136"/>
      <c r="J68" s="135">
        <f t="shared" si="2"/>
        <v>61624.436604535804</v>
      </c>
      <c r="K68" s="6">
        <f t="shared" si="1"/>
        <v>61094.466449736799</v>
      </c>
    </row>
    <row r="69" spans="1:11" x14ac:dyDescent="0.25">
      <c r="A69" s="9">
        <v>2011</v>
      </c>
      <c r="B69" s="9">
        <v>4</v>
      </c>
      <c r="C69" s="136">
        <v>3.6900000000000002E-2</v>
      </c>
      <c r="D69" s="180">
        <f t="shared" si="3"/>
        <v>3.2221E-2</v>
      </c>
      <c r="E69" s="202">
        <v>72406</v>
      </c>
      <c r="F69" s="154">
        <v>5.6599999999999998E-2</v>
      </c>
      <c r="G69" s="154">
        <v>1.6E-2</v>
      </c>
      <c r="H69" s="154"/>
      <c r="I69" s="136"/>
      <c r="J69" s="135">
        <f t="shared" si="2"/>
        <v>57761.466449736799</v>
      </c>
      <c r="K69" s="6">
        <f t="shared" si="1"/>
        <v>59622.598660213771</v>
      </c>
    </row>
    <row r="70" spans="1:11" x14ac:dyDescent="0.25">
      <c r="A70" s="9">
        <v>2011</v>
      </c>
      <c r="B70" s="9">
        <v>5</v>
      </c>
      <c r="C70" s="136">
        <v>1.43E-2</v>
      </c>
      <c r="D70" s="180">
        <f t="shared" si="3"/>
        <v>1.3088499999999999E-2</v>
      </c>
      <c r="E70" s="202">
        <v>70111</v>
      </c>
      <c r="F70" s="154">
        <v>1.3599999999999999E-2</v>
      </c>
      <c r="G70" s="154">
        <v>1.5100000000000001E-2</v>
      </c>
      <c r="H70" s="154"/>
      <c r="I70" s="136"/>
      <c r="J70" s="135">
        <f t="shared" si="2"/>
        <v>56289.598660213771</v>
      </c>
      <c r="K70" s="6">
        <f t="shared" si="1"/>
        <v>57026.345072277982</v>
      </c>
    </row>
    <row r="71" spans="1:11" x14ac:dyDescent="0.25">
      <c r="A71" s="9">
        <v>2011</v>
      </c>
      <c r="B71" s="9">
        <v>6</v>
      </c>
      <c r="C71" s="136">
        <v>-1.61E-2</v>
      </c>
      <c r="D71" s="180">
        <f>0.5*(F71)+0.5*(G71-G71*0.05)</f>
        <v>-1.5325000000000002E-2</v>
      </c>
      <c r="E71" s="202">
        <v>65650</v>
      </c>
      <c r="F71" s="165">
        <v>-3.3500000000000002E-2</v>
      </c>
      <c r="G71" s="154">
        <v>3.0000000000000001E-3</v>
      </c>
      <c r="H71" s="154"/>
      <c r="I71" s="136"/>
      <c r="J71" s="135">
        <f t="shared" si="2"/>
        <v>53693.345072277982</v>
      </c>
      <c r="K71" s="6">
        <f t="shared" si="1"/>
        <v>52870.494559045321</v>
      </c>
    </row>
    <row r="72" spans="1:11" x14ac:dyDescent="0.25">
      <c r="A72" s="9">
        <v>2011</v>
      </c>
      <c r="B72" s="9">
        <v>7</v>
      </c>
      <c r="C72" s="136">
        <v>1.2699999999999999E-2</v>
      </c>
      <c r="D72" s="180">
        <f t="shared" si="3"/>
        <v>1.1350000000000001E-2</v>
      </c>
      <c r="E72" s="202">
        <v>63151</v>
      </c>
      <c r="F72" s="154">
        <v>1.55E-2</v>
      </c>
      <c r="G72" s="154">
        <v>9.7000000000000003E-3</v>
      </c>
      <c r="H72" s="154"/>
      <c r="I72" s="136"/>
      <c r="J72" s="135">
        <f t="shared" si="2"/>
        <v>49537.494559045321</v>
      </c>
      <c r="K72" s="6">
        <f t="shared" si="1"/>
        <v>50099.745122290486</v>
      </c>
    </row>
    <row r="73" spans="1:11" x14ac:dyDescent="0.25">
      <c r="A73" s="9">
        <v>2011</v>
      </c>
      <c r="B73" s="9">
        <v>8</v>
      </c>
      <c r="C73" s="136">
        <v>-2.1700000000000001E-2</v>
      </c>
      <c r="D73" s="180">
        <f>0.5*(F73)+0.5*(G73-G73*0.05)</f>
        <v>-2.1000000000000001E-2</v>
      </c>
      <c r="E73" s="202">
        <v>58447</v>
      </c>
      <c r="F73" s="165">
        <v>-5.5300000000000002E-2</v>
      </c>
      <c r="G73" s="154">
        <v>1.4E-2</v>
      </c>
      <c r="H73" s="154"/>
      <c r="I73" s="136"/>
      <c r="J73" s="135">
        <f t="shared" si="2"/>
        <v>46766.745122290486</v>
      </c>
      <c r="K73" s="6">
        <f t="shared" si="1"/>
        <v>45784.643474722383</v>
      </c>
    </row>
    <row r="74" spans="1:11" x14ac:dyDescent="0.25">
      <c r="A74" s="9">
        <v>2011</v>
      </c>
      <c r="B74" s="9">
        <v>9</v>
      </c>
      <c r="C74" s="136">
        <v>-5.1400000000000001E-2</v>
      </c>
      <c r="D74" s="180">
        <f>0.5*(F74)+0.5*(G74)</f>
        <v>-5.1649999999999995E-2</v>
      </c>
      <c r="E74" s="202">
        <v>52107</v>
      </c>
      <c r="F74" s="165">
        <v>-0.10979999999999999</v>
      </c>
      <c r="G74" s="165">
        <v>6.4999999999999997E-3</v>
      </c>
      <c r="H74" s="154"/>
      <c r="I74" s="136"/>
      <c r="J74" s="135">
        <f t="shared" si="2"/>
        <v>42451.643474722383</v>
      </c>
      <c r="K74" s="6">
        <f t="shared" si="1"/>
        <v>40259.016089252975</v>
      </c>
    </row>
    <row r="75" spans="1:11" x14ac:dyDescent="0.25">
      <c r="A75" s="9">
        <v>2011</v>
      </c>
      <c r="B75" s="9">
        <v>10</v>
      </c>
      <c r="C75" s="136">
        <v>6.54E-2</v>
      </c>
      <c r="D75" s="180">
        <f t="shared" si="3"/>
        <v>6.0886499999999996E-2</v>
      </c>
      <c r="E75" s="202">
        <v>52180</v>
      </c>
      <c r="F75" s="154">
        <v>0.1439</v>
      </c>
      <c r="G75" s="154">
        <v>-3.5999999999999999E-3</v>
      </c>
      <c r="H75" s="154"/>
      <c r="I75" s="136"/>
      <c r="J75" s="135">
        <f t="shared" si="2"/>
        <v>36926.016089252975</v>
      </c>
      <c r="K75" s="6">
        <f t="shared" si="1"/>
        <v>39174.311967871276</v>
      </c>
    </row>
    <row r="76" spans="1:11" x14ac:dyDescent="0.25">
      <c r="A76" s="9">
        <v>2011</v>
      </c>
      <c r="B76" s="9">
        <v>11</v>
      </c>
      <c r="C76" s="136">
        <v>-1.55E-2</v>
      </c>
      <c r="D76" s="180">
        <f>0.5*(F76)+0.5*(G76-G76*0.05)</f>
        <v>-1.55625E-2</v>
      </c>
      <c r="E76" s="202">
        <v>48039</v>
      </c>
      <c r="F76" s="165">
        <v>-3.73E-2</v>
      </c>
      <c r="G76" s="154">
        <v>6.4999999999999997E-3</v>
      </c>
      <c r="H76" s="154"/>
      <c r="I76" s="136"/>
      <c r="J76" s="135">
        <f t="shared" si="2"/>
        <v>35841.311967871276</v>
      </c>
      <c r="K76" s="6">
        <f t="shared" si="1"/>
        <v>35283.531550371277</v>
      </c>
    </row>
    <row r="77" spans="1:11" s="87" customFormat="1" x14ac:dyDescent="0.25">
      <c r="A77" s="87">
        <v>2011</v>
      </c>
      <c r="B77" s="87">
        <v>12</v>
      </c>
      <c r="C77" s="154">
        <v>3.2599999999999997E-2</v>
      </c>
      <c r="D77" s="180">
        <f t="shared" si="3"/>
        <v>2.9363500000000001E-2</v>
      </c>
      <c r="E77" s="202">
        <v>46271</v>
      </c>
      <c r="F77" s="154">
        <v>4.6100000000000002E-2</v>
      </c>
      <c r="G77" s="154">
        <v>1.9599999999999999E-2</v>
      </c>
      <c r="H77" s="154"/>
      <c r="I77" s="136"/>
      <c r="J77" s="135">
        <f t="shared" si="2"/>
        <v>31950.531550371277</v>
      </c>
      <c r="K77" s="6">
        <f t="shared" si="1"/>
        <v>32888.710983550605</v>
      </c>
    </row>
    <row r="78" spans="1:11" x14ac:dyDescent="0.25">
      <c r="A78" s="9">
        <v>2012</v>
      </c>
      <c r="B78" s="9">
        <v>1</v>
      </c>
      <c r="C78" s="136">
        <v>4.3499999999999997E-2</v>
      </c>
      <c r="D78" s="180">
        <f t="shared" si="3"/>
        <v>3.8681500000000001E-2</v>
      </c>
      <c r="E78" s="202">
        <v>44950</v>
      </c>
      <c r="F78" s="154">
        <v>6.4899999999999999E-2</v>
      </c>
      <c r="G78" s="154">
        <v>2.1999999999999999E-2</v>
      </c>
      <c r="H78" s="154"/>
      <c r="I78" s="136"/>
      <c r="J78" s="135">
        <f t="shared" si="2"/>
        <v>29555.710983550605</v>
      </c>
      <c r="K78" s="6">
        <f t="shared" si="1"/>
        <v>30698.970217960818</v>
      </c>
    </row>
    <row r="79" spans="1:11" x14ac:dyDescent="0.25">
      <c r="A79" s="9">
        <v>2012</v>
      </c>
      <c r="B79" s="9">
        <v>2</v>
      </c>
      <c r="C79" s="136">
        <v>-5.8999999999999999E-3</v>
      </c>
      <c r="D79" s="180">
        <f>0.5*(F79)+0.5*(G79)</f>
        <v>-5.7499999999999999E-3</v>
      </c>
      <c r="E79" s="202">
        <v>41354</v>
      </c>
      <c r="F79" s="165">
        <v>-1.12E-2</v>
      </c>
      <c r="G79" s="165">
        <v>-2.9999999999999997E-4</v>
      </c>
      <c r="H79" s="154"/>
      <c r="I79" s="136"/>
      <c r="J79" s="135">
        <f t="shared" si="2"/>
        <v>27365.970217960818</v>
      </c>
      <c r="K79" s="6">
        <f t="shared" si="1"/>
        <v>27208.615889207544</v>
      </c>
    </row>
    <row r="80" spans="1:11" x14ac:dyDescent="0.25">
      <c r="A80" s="9">
        <v>2012</v>
      </c>
      <c r="B80" s="9">
        <v>3</v>
      </c>
      <c r="C80" s="136">
        <v>2.1499999999999998E-2</v>
      </c>
      <c r="D80" s="180">
        <f>0.5*(F80-F80*0.13)+0.5*(G80)</f>
        <v>1.7759E-2</v>
      </c>
      <c r="E80" s="202">
        <v>38912</v>
      </c>
      <c r="F80" s="154">
        <v>5.1400000000000001E-2</v>
      </c>
      <c r="G80" s="165">
        <v>-9.1999999999999998E-3</v>
      </c>
      <c r="H80" s="154"/>
      <c r="I80" s="136"/>
      <c r="J80" s="135">
        <f t="shared" si="2"/>
        <v>23875.615889207544</v>
      </c>
      <c r="K80" s="6">
        <f t="shared" si="1"/>
        <v>24299.622951783982</v>
      </c>
    </row>
    <row r="81" spans="1:11" x14ac:dyDescent="0.25">
      <c r="A81" s="9">
        <v>2012</v>
      </c>
      <c r="B81" s="9">
        <v>4</v>
      </c>
      <c r="C81" s="136">
        <v>2.0400000000000001E-2</v>
      </c>
      <c r="D81" s="180">
        <f t="shared" si="3"/>
        <v>1.7847999999999999E-2</v>
      </c>
      <c r="E81" s="202">
        <v>36372</v>
      </c>
      <c r="F81" s="154">
        <v>2.8799999999999999E-2</v>
      </c>
      <c r="G81" s="154">
        <v>1.12E-2</v>
      </c>
      <c r="H81" s="154"/>
      <c r="I81" s="136"/>
      <c r="J81" s="135">
        <f t="shared" si="2"/>
        <v>20966.622951783982</v>
      </c>
      <c r="K81" s="6">
        <f t="shared" si="1"/>
        <v>21340.835238227424</v>
      </c>
    </row>
    <row r="82" spans="1:11" x14ac:dyDescent="0.25">
      <c r="A82" s="9">
        <v>2012</v>
      </c>
      <c r="B82" s="9">
        <v>5</v>
      </c>
      <c r="C82" s="136">
        <v>-2.0899999999999998E-2</v>
      </c>
      <c r="D82" s="180">
        <f>0.5*(F82)+0.5*(G82-G82*0.05)</f>
        <v>-1.97225E-2</v>
      </c>
      <c r="E82" s="202">
        <v>32277</v>
      </c>
      <c r="F82" s="165">
        <v>-4.5999999999999999E-2</v>
      </c>
      <c r="G82" s="154">
        <v>6.8999999999999999E-3</v>
      </c>
      <c r="H82" s="154"/>
      <c r="I82" s="136"/>
      <c r="J82" s="135">
        <f t="shared" si="2"/>
        <v>18007.835238227424</v>
      </c>
      <c r="K82" s="6">
        <f t="shared" si="1"/>
        <v>17652.675707741484</v>
      </c>
    </row>
    <row r="83" spans="1:11" x14ac:dyDescent="0.25">
      <c r="A83" s="9">
        <v>2012</v>
      </c>
      <c r="B83" s="9">
        <v>6</v>
      </c>
      <c r="C83" s="136">
        <v>2.8199999999999999E-2</v>
      </c>
      <c r="D83" s="180">
        <f>0.5*(F83-F83*0.13)+0.5*(G83)</f>
        <v>2.3684E-2</v>
      </c>
      <c r="E83" s="202">
        <v>29853</v>
      </c>
      <c r="F83" s="154">
        <v>5.6399999999999999E-2</v>
      </c>
      <c r="G83" s="165">
        <v>-1.6999999999999999E-3</v>
      </c>
      <c r="H83" s="154"/>
      <c r="I83" s="136"/>
      <c r="J83" s="135">
        <f t="shared" si="2"/>
        <v>14319.675707741484</v>
      </c>
      <c r="K83" s="6">
        <f t="shared" si="1"/>
        <v>14658.822907203634</v>
      </c>
    </row>
    <row r="84" spans="1:11" x14ac:dyDescent="0.25">
      <c r="A84" s="9">
        <v>2012</v>
      </c>
      <c r="B84" s="9">
        <v>7</v>
      </c>
      <c r="C84" s="136">
        <v>1.67E-2</v>
      </c>
      <c r="D84" s="180">
        <f t="shared" si="3"/>
        <v>1.4998000000000001E-2</v>
      </c>
      <c r="E84" s="202">
        <v>27020</v>
      </c>
      <c r="F84" s="154">
        <v>1.9300000000000001E-2</v>
      </c>
      <c r="G84" s="154">
        <v>1.3899999999999999E-2</v>
      </c>
      <c r="H84" s="154"/>
      <c r="I84" s="136"/>
      <c r="J84" s="135">
        <f t="shared" si="2"/>
        <v>11325.822907203634</v>
      </c>
      <c r="K84" s="6">
        <f t="shared" si="1"/>
        <v>11495.687599165874</v>
      </c>
    </row>
    <row r="85" spans="1:11" x14ac:dyDescent="0.25">
      <c r="A85" s="9">
        <v>2012</v>
      </c>
      <c r="B85" s="9">
        <v>8</v>
      </c>
      <c r="C85" s="136">
        <v>2.0000000000000001E-4</v>
      </c>
      <c r="D85" s="180">
        <f>0.5*(F85)+0.5*(G85-G85*0.05)</f>
        <v>1.5499999999999997E-4</v>
      </c>
      <c r="E85" s="202">
        <v>23691</v>
      </c>
      <c r="F85" s="165">
        <v>-1.4E-3</v>
      </c>
      <c r="G85" s="154">
        <v>1.8E-3</v>
      </c>
      <c r="H85" s="154"/>
      <c r="I85" s="136"/>
      <c r="J85" s="135">
        <f t="shared" si="2"/>
        <v>8162.6875991658744</v>
      </c>
      <c r="K85" s="6">
        <f t="shared" si="1"/>
        <v>8163.9528157437453</v>
      </c>
    </row>
    <row r="86" spans="1:11" x14ac:dyDescent="0.25">
      <c r="A86" s="9">
        <v>2012</v>
      </c>
      <c r="B86" s="9">
        <v>9</v>
      </c>
      <c r="C86" s="136">
        <v>-6.4999999999999997E-3</v>
      </c>
      <c r="D86" s="180">
        <f>0.5*(F86)+0.5*(G86-G86*0.05)</f>
        <v>-6.0150000000000004E-3</v>
      </c>
      <c r="E86" s="202">
        <v>20203</v>
      </c>
      <c r="F86" s="165">
        <v>-1.83E-2</v>
      </c>
      <c r="G86" s="154">
        <v>6.6E-3</v>
      </c>
      <c r="H86" s="154"/>
      <c r="I86" s="136"/>
      <c r="J86" s="135">
        <f t="shared" si="2"/>
        <v>4830.9528157437453</v>
      </c>
      <c r="K86" s="6">
        <f t="shared" si="1"/>
        <v>4801.8946345570466</v>
      </c>
    </row>
    <row r="87" spans="1:11" x14ac:dyDescent="0.25">
      <c r="A87" s="9">
        <v>2012</v>
      </c>
      <c r="B87" s="9">
        <v>10</v>
      </c>
      <c r="C87" s="136">
        <v>-3.5000000000000001E-3</v>
      </c>
      <c r="D87" s="180">
        <f>0.5*(F87)+0.5*(G87-G87*0.05)</f>
        <v>-3.2950000000000002E-3</v>
      </c>
      <c r="E87" s="202">
        <v>16800</v>
      </c>
      <c r="F87" s="165">
        <v>-8.3000000000000001E-3</v>
      </c>
      <c r="G87" s="154">
        <v>1.8E-3</v>
      </c>
      <c r="H87" s="154"/>
      <c r="I87" s="136"/>
      <c r="J87" s="135">
        <f t="shared" si="2"/>
        <v>1468.8946345570466</v>
      </c>
      <c r="K87" s="6">
        <f t="shared" si="1"/>
        <v>1464.0546267361813</v>
      </c>
    </row>
    <row r="88" spans="1:11" x14ac:dyDescent="0.25">
      <c r="A88" s="87">
        <v>2012</v>
      </c>
      <c r="B88" s="87">
        <v>11</v>
      </c>
      <c r="C88" s="154">
        <v>5.1999999999999998E-3</v>
      </c>
      <c r="D88" s="180">
        <f>0.5*(F88)+0.5*(G88-G88*0.05)</f>
        <v>5.2275000000000004E-3</v>
      </c>
      <c r="E88" s="203">
        <v>13555</v>
      </c>
      <c r="F88" s="165">
        <v>-3.7000000000000002E-3</v>
      </c>
      <c r="G88" s="154">
        <v>1.49E-2</v>
      </c>
      <c r="H88" s="154"/>
      <c r="I88" s="136"/>
      <c r="J88" s="135">
        <f t="shared" si="2"/>
        <v>-1868.9453732638187</v>
      </c>
      <c r="K88" s="109">
        <f t="shared" si="1"/>
        <v>-1878.7152852025554</v>
      </c>
    </row>
    <row r="89" spans="1:11" x14ac:dyDescent="0.25">
      <c r="A89" s="162">
        <v>2012</v>
      </c>
      <c r="B89" s="162">
        <v>12</v>
      </c>
      <c r="C89" s="163">
        <v>1.32E-2</v>
      </c>
      <c r="D89" s="180">
        <f>0.5*(F89-F89*0.13)+0.5*(G89)</f>
        <v>1.0101499999999999E-2</v>
      </c>
      <c r="E89" s="204">
        <v>10401</v>
      </c>
      <c r="F89" s="187">
        <v>3.6900000000000002E-2</v>
      </c>
      <c r="G89" s="186">
        <v>-1.1900000000000001E-2</v>
      </c>
      <c r="H89" s="87"/>
      <c r="J89" s="135">
        <f t="shared" si="2"/>
        <v>-5211.7152852025556</v>
      </c>
      <c r="K89" s="109">
        <f t="shared" ref="K89" si="4">J89+(J89*D89)</f>
        <v>-5264.3614271560291</v>
      </c>
    </row>
    <row r="90" spans="1:11" ht="75" x14ac:dyDescent="0.25">
      <c r="A90" s="159" t="s">
        <v>0</v>
      </c>
      <c r="B90" s="159" t="s">
        <v>18</v>
      </c>
      <c r="C90" s="160" t="s">
        <v>2</v>
      </c>
      <c r="E90" s="180" t="s">
        <v>3</v>
      </c>
      <c r="F90" s="161" t="s">
        <v>65</v>
      </c>
      <c r="G90" s="192" t="s">
        <v>35</v>
      </c>
      <c r="H90" s="194" t="s">
        <v>36</v>
      </c>
      <c r="J90" t="s">
        <v>36</v>
      </c>
      <c r="K90"/>
    </row>
    <row r="91" spans="1:11" x14ac:dyDescent="0.25">
      <c r="A91" s="159" t="s">
        <v>20</v>
      </c>
      <c r="B91" s="159"/>
      <c r="C91" s="160"/>
      <c r="E91" s="180"/>
      <c r="F91" s="161"/>
      <c r="G91" s="160"/>
      <c r="H91" s="136"/>
      <c r="J91">
        <v>200000</v>
      </c>
      <c r="K91"/>
    </row>
    <row r="92" spans="1:11" x14ac:dyDescent="0.25">
      <c r="A92" s="159"/>
      <c r="B92" s="159"/>
      <c r="C92" s="185">
        <f>AVERAGE(C93:C152)</f>
        <v>4.4233333333333321E-3</v>
      </c>
      <c r="D92" s="185">
        <f>AVERAGE(D93:D152)</f>
        <v>3.1968000000000014E-3</v>
      </c>
      <c r="E92" s="180"/>
      <c r="F92" s="185">
        <f>AVERAGE(F93:F152)</f>
        <v>6.4349999999999997E-3</v>
      </c>
      <c r="G92" s="185">
        <f>AVERAGE(G93:G152)</f>
        <v>2.558333333333333E-3</v>
      </c>
      <c r="H92" s="154"/>
      <c r="I92" s="160" t="s">
        <v>36</v>
      </c>
      <c r="J92">
        <v>3333</v>
      </c>
      <c r="K92"/>
    </row>
    <row r="93" spans="1:11" x14ac:dyDescent="0.25">
      <c r="A93" s="159">
        <v>2015</v>
      </c>
      <c r="B93" s="159">
        <v>1</v>
      </c>
      <c r="C93" s="160">
        <v>4.1200000000000001E-2</v>
      </c>
      <c r="D93" s="180">
        <f>0.5*(F93-F93*0.13) + 0.5*(G93-G93*0.05)</f>
        <v>3.6404499999999999E-2</v>
      </c>
      <c r="E93" s="200">
        <v>204901</v>
      </c>
      <c r="F93" s="187">
        <v>6.7199999999999996E-2</v>
      </c>
      <c r="G93" s="187">
        <v>1.5100000000000001E-2</v>
      </c>
      <c r="H93" s="154"/>
      <c r="I93" s="136" t="s">
        <v>36</v>
      </c>
      <c r="J93">
        <f>J91-J92</f>
        <v>196667</v>
      </c>
      <c r="K93" s="6">
        <f>J93+J93*D93</f>
        <v>203826.56380149999</v>
      </c>
    </row>
    <row r="94" spans="1:11" x14ac:dyDescent="0.25">
      <c r="A94" s="159">
        <v>2015</v>
      </c>
      <c r="B94" s="159">
        <v>2</v>
      </c>
      <c r="C94" s="160">
        <v>-2.3E-2</v>
      </c>
      <c r="D94" s="180">
        <f>0.5*(F94) + 0.5*(G94)</f>
        <v>-2.2749999999999999E-2</v>
      </c>
      <c r="E94" s="200">
        <v>196848</v>
      </c>
      <c r="F94" s="186">
        <v>-3.5900000000000001E-2</v>
      </c>
      <c r="G94" s="186">
        <v>-9.5999999999999992E-3</v>
      </c>
      <c r="H94" s="154"/>
      <c r="I94" s="136"/>
      <c r="J94" s="135">
        <f>K93-$J$28</f>
        <v>200493.56380149999</v>
      </c>
      <c r="K94" s="6">
        <f t="shared" ref="K94:K153" si="5">J94+J94*D94</f>
        <v>195932.33522501585</v>
      </c>
    </row>
    <row r="95" spans="1:11" x14ac:dyDescent="0.25">
      <c r="A95" s="159">
        <v>2015</v>
      </c>
      <c r="B95" s="159">
        <v>3</v>
      </c>
      <c r="C95" s="160">
        <v>0.01</v>
      </c>
      <c r="D95" s="180">
        <f t="shared" ref="D94:D153" si="6">0.5*(F95-F95*0.13) + 0.5*(G95-G95*0.05)</f>
        <v>8.6695000000000001E-3</v>
      </c>
      <c r="E95" s="200">
        <v>195476</v>
      </c>
      <c r="F95" s="187">
        <v>1.72E-2</v>
      </c>
      <c r="G95" s="187">
        <v>2.5000000000000001E-3</v>
      </c>
      <c r="H95" s="154"/>
      <c r="I95" s="136"/>
      <c r="J95" s="135">
        <f t="shared" ref="J95:J153" si="7">K94-$J$28</f>
        <v>192599.33522501585</v>
      </c>
      <c r="K95" s="6">
        <f t="shared" si="5"/>
        <v>194269.07516174912</v>
      </c>
    </row>
    <row r="96" spans="1:11" x14ac:dyDescent="0.25">
      <c r="A96" s="159">
        <v>2015</v>
      </c>
      <c r="B96" s="159">
        <v>4</v>
      </c>
      <c r="C96" s="160">
        <v>-3.2399999999999998E-2</v>
      </c>
      <c r="D96" s="180">
        <f>0.5*(F96) + 0.5*(G96)</f>
        <v>-3.1899999999999998E-2</v>
      </c>
      <c r="E96" s="200">
        <v>185802</v>
      </c>
      <c r="F96" s="186">
        <v>-5.9200000000000003E-2</v>
      </c>
      <c r="G96" s="186">
        <v>-4.5999999999999999E-3</v>
      </c>
      <c r="H96" s="154"/>
      <c r="I96" s="136"/>
      <c r="J96" s="135">
        <f t="shared" si="7"/>
        <v>190936.07516174912</v>
      </c>
      <c r="K96" s="6">
        <f t="shared" si="5"/>
        <v>184845.21436408933</v>
      </c>
    </row>
    <row r="97" spans="1:11" x14ac:dyDescent="0.25">
      <c r="A97" s="159">
        <v>2015</v>
      </c>
      <c r="B97" s="159">
        <v>5</v>
      </c>
      <c r="C97" s="160">
        <v>-2.8999999999999998E-3</v>
      </c>
      <c r="D97" s="180">
        <f t="shared" ref="D97:D98" si="8">0.5*(F97) + 0.5*(G97)</f>
        <v>-2.8999999999999998E-3</v>
      </c>
      <c r="E97" s="200">
        <v>181931</v>
      </c>
      <c r="F97" s="186">
        <v>-2.7000000000000001E-3</v>
      </c>
      <c r="G97" s="186">
        <v>-3.0999999999999999E-3</v>
      </c>
      <c r="H97" s="154"/>
      <c r="I97" s="136"/>
      <c r="J97" s="135">
        <f t="shared" si="7"/>
        <v>181512.21436408933</v>
      </c>
      <c r="K97" s="6">
        <f t="shared" si="5"/>
        <v>180985.82894243347</v>
      </c>
    </row>
    <row r="98" spans="1:11" x14ac:dyDescent="0.25">
      <c r="A98" s="159">
        <v>2015</v>
      </c>
      <c r="B98" s="159">
        <v>6</v>
      </c>
      <c r="C98" s="160">
        <v>-2.3400000000000001E-2</v>
      </c>
      <c r="D98" s="180">
        <f t="shared" si="8"/>
        <v>-2.3549999999999998E-2</v>
      </c>
      <c r="E98" s="200">
        <v>174349</v>
      </c>
      <c r="F98" s="186">
        <v>-4.5999999999999999E-2</v>
      </c>
      <c r="G98" s="186">
        <v>-1.1000000000000001E-3</v>
      </c>
      <c r="H98" s="154"/>
      <c r="I98" s="136"/>
      <c r="J98" s="135">
        <f t="shared" si="7"/>
        <v>177652.82894243347</v>
      </c>
      <c r="K98" s="6">
        <f t="shared" si="5"/>
        <v>173469.10482083916</v>
      </c>
    </row>
    <row r="99" spans="1:11" x14ac:dyDescent="0.25">
      <c r="A99" s="159">
        <v>2015</v>
      </c>
      <c r="B99" s="159">
        <v>7</v>
      </c>
      <c r="C99" s="160">
        <v>3.0599999999999999E-2</v>
      </c>
      <c r="D99" s="180">
        <f t="shared" si="6"/>
        <v>2.7542500000000001E-2</v>
      </c>
      <c r="E99" s="200">
        <v>176344</v>
      </c>
      <c r="F99" s="187">
        <v>5.6000000000000001E-2</v>
      </c>
      <c r="G99" s="187">
        <v>6.7000000000000002E-3</v>
      </c>
      <c r="H99" s="154"/>
      <c r="I99" s="136"/>
      <c r="J99" s="135">
        <f t="shared" si="7"/>
        <v>170136.10482083916</v>
      </c>
      <c r="K99" s="6">
        <f t="shared" si="5"/>
        <v>174822.07848786711</v>
      </c>
    </row>
    <row r="100" spans="1:11" x14ac:dyDescent="0.25">
      <c r="A100" s="159">
        <v>2015</v>
      </c>
      <c r="B100" s="159">
        <v>8</v>
      </c>
      <c r="C100" s="160">
        <v>-2.98E-2</v>
      </c>
      <c r="D100" s="180">
        <f>0.5*(F100) + 0.5*(G100-G100*0.05)</f>
        <v>-3.0110000000000001E-2</v>
      </c>
      <c r="E100" s="200">
        <v>167760</v>
      </c>
      <c r="F100" s="186">
        <v>-6.25E-2</v>
      </c>
      <c r="G100" s="187">
        <v>2.3999999999999998E-3</v>
      </c>
      <c r="H100" s="154"/>
      <c r="I100" s="136"/>
      <c r="J100" s="135">
        <f t="shared" si="7"/>
        <v>171489.07848786711</v>
      </c>
      <c r="K100" s="6">
        <f t="shared" si="5"/>
        <v>166325.54233459744</v>
      </c>
    </row>
    <row r="101" spans="1:11" x14ac:dyDescent="0.25">
      <c r="A101" s="159">
        <v>2015</v>
      </c>
      <c r="B101" s="159">
        <v>9</v>
      </c>
      <c r="C101" s="160">
        <v>1.7899999999999999E-2</v>
      </c>
      <c r="D101" s="180">
        <f t="shared" si="6"/>
        <v>1.6271999999999998E-2</v>
      </c>
      <c r="E101" s="200">
        <v>167433</v>
      </c>
      <c r="F101" s="187">
        <v>3.0200000000000001E-2</v>
      </c>
      <c r="G101" s="187">
        <v>6.6E-3</v>
      </c>
      <c r="H101" s="154"/>
      <c r="I101" s="136"/>
      <c r="J101" s="135">
        <f t="shared" si="7"/>
        <v>162992.54233459744</v>
      </c>
      <c r="K101" s="6">
        <f t="shared" si="5"/>
        <v>165644.75698346601</v>
      </c>
    </row>
    <row r="102" spans="1:11" x14ac:dyDescent="0.25">
      <c r="A102" s="159">
        <v>2015</v>
      </c>
      <c r="B102" s="159">
        <v>10</v>
      </c>
      <c r="C102" s="160">
        <v>0.03</v>
      </c>
      <c r="D102" s="180">
        <f t="shared" si="6"/>
        <v>2.6948E-2</v>
      </c>
      <c r="E102" s="200">
        <v>169116</v>
      </c>
      <c r="F102" s="187">
        <v>5.7799999999999997E-2</v>
      </c>
      <c r="G102" s="187">
        <v>3.8E-3</v>
      </c>
      <c r="H102" s="154"/>
      <c r="I102" s="136"/>
      <c r="J102" s="135">
        <f t="shared" si="7"/>
        <v>162311.75698346601</v>
      </c>
      <c r="K102" s="6">
        <f t="shared" si="5"/>
        <v>166685.73421065646</v>
      </c>
    </row>
    <row r="103" spans="1:11" x14ac:dyDescent="0.25">
      <c r="A103" s="159">
        <v>2015</v>
      </c>
      <c r="B103" s="159">
        <v>11</v>
      </c>
      <c r="C103" s="160">
        <v>-1.6999999999999999E-3</v>
      </c>
      <c r="D103" s="180">
        <f>0.5*(F103) + 0.5*(G103-G103*0.05)</f>
        <v>-1.7750000000000001E-3</v>
      </c>
      <c r="E103" s="200">
        <v>165502</v>
      </c>
      <c r="F103" s="186">
        <v>-6.4000000000000003E-3</v>
      </c>
      <c r="G103" s="187">
        <v>3.0000000000000001E-3</v>
      </c>
      <c r="H103" s="154"/>
      <c r="I103" s="136"/>
      <c r="J103" s="135">
        <f t="shared" si="7"/>
        <v>163352.73421065646</v>
      </c>
      <c r="K103" s="6">
        <f t="shared" si="5"/>
        <v>163062.78310743254</v>
      </c>
    </row>
    <row r="104" spans="1:11" x14ac:dyDescent="0.25">
      <c r="A104" s="159">
        <v>2015</v>
      </c>
      <c r="B104" s="159">
        <v>12</v>
      </c>
      <c r="C104" s="160">
        <v>1.2200000000000001E-2</v>
      </c>
      <c r="D104" s="180">
        <f t="shared" si="6"/>
        <v>1.0921500000000001E-2</v>
      </c>
      <c r="E104" s="200">
        <v>164189</v>
      </c>
      <c r="F104" s="187">
        <v>1.7899999999999999E-2</v>
      </c>
      <c r="G104" s="187">
        <v>6.6E-3</v>
      </c>
      <c r="H104" s="154"/>
      <c r="I104" s="136"/>
      <c r="J104" s="135">
        <f t="shared" si="7"/>
        <v>159729.78310743254</v>
      </c>
      <c r="K104" s="6">
        <f t="shared" si="5"/>
        <v>161474.27193364035</v>
      </c>
    </row>
    <row r="105" spans="1:11" x14ac:dyDescent="0.25">
      <c r="A105" s="159">
        <v>2016</v>
      </c>
      <c r="B105" s="159">
        <v>1</v>
      </c>
      <c r="C105" s="160">
        <v>-1.04E-2</v>
      </c>
      <c r="D105" s="180">
        <f t="shared" ref="D105:D106" si="9">0.5*(F105) + 0.5*(G105-G105*0.05)</f>
        <v>-1.0672499999999998E-2</v>
      </c>
      <c r="E105" s="200">
        <v>159155</v>
      </c>
      <c r="F105" s="186">
        <v>-3.3599999999999998E-2</v>
      </c>
      <c r="G105" s="187">
        <v>1.29E-2</v>
      </c>
      <c r="H105" s="154"/>
      <c r="I105" s="136"/>
      <c r="J105" s="135">
        <f t="shared" si="7"/>
        <v>158141.27193364035</v>
      </c>
      <c r="K105" s="6">
        <f t="shared" si="5"/>
        <v>156453.50920892859</v>
      </c>
    </row>
    <row r="106" spans="1:11" x14ac:dyDescent="0.25">
      <c r="A106" s="159">
        <v>2016</v>
      </c>
      <c r="B106" s="159">
        <v>2</v>
      </c>
      <c r="C106" s="160">
        <v>-2E-3</v>
      </c>
      <c r="D106" s="180">
        <f t="shared" si="9"/>
        <v>-2.1025000000000002E-3</v>
      </c>
      <c r="E106" s="200">
        <v>155496</v>
      </c>
      <c r="F106" s="186">
        <v>-4.3E-3</v>
      </c>
      <c r="G106" s="187">
        <v>1E-4</v>
      </c>
      <c r="H106" s="154"/>
      <c r="I106" s="136"/>
      <c r="J106" s="135">
        <f t="shared" si="7"/>
        <v>153120.50920892859</v>
      </c>
      <c r="K106" s="6">
        <f t="shared" si="5"/>
        <v>152798.57333831681</v>
      </c>
    </row>
    <row r="107" spans="1:11" x14ac:dyDescent="0.25">
      <c r="A107" s="159">
        <v>2016</v>
      </c>
      <c r="B107" s="159">
        <v>3</v>
      </c>
      <c r="C107" s="160">
        <v>5.2299999999999999E-2</v>
      </c>
      <c r="D107" s="180">
        <f t="shared" si="6"/>
        <v>4.67085E-2</v>
      </c>
      <c r="E107" s="200">
        <v>160289</v>
      </c>
      <c r="F107" s="187">
        <v>0.1041</v>
      </c>
      <c r="G107" s="187">
        <v>3.0000000000000001E-3</v>
      </c>
      <c r="H107" s="154"/>
      <c r="I107" s="136"/>
      <c r="J107" s="135">
        <f t="shared" si="7"/>
        <v>149465.57333831681</v>
      </c>
      <c r="K107" s="6">
        <f t="shared" si="5"/>
        <v>156446.88607058959</v>
      </c>
    </row>
    <row r="108" spans="1:11" x14ac:dyDescent="0.25">
      <c r="A108" s="159">
        <v>2016</v>
      </c>
      <c r="B108" s="159">
        <v>4</v>
      </c>
      <c r="C108" s="160">
        <v>-9.1999999999999998E-3</v>
      </c>
      <c r="D108" s="180">
        <f>0.5*(F108) + 0.5*(G108-G108*0.05)</f>
        <v>-9.0100000000000006E-3</v>
      </c>
      <c r="E108" s="200">
        <v>155486</v>
      </c>
      <c r="F108" s="186">
        <v>-2.41E-2</v>
      </c>
      <c r="G108" s="187">
        <v>6.4000000000000003E-3</v>
      </c>
      <c r="H108" s="154"/>
      <c r="I108" s="136"/>
      <c r="J108" s="135">
        <f t="shared" si="7"/>
        <v>153113.88607058959</v>
      </c>
      <c r="K108" s="6">
        <f t="shared" si="5"/>
        <v>151734.32995709358</v>
      </c>
    </row>
    <row r="109" spans="1:11" x14ac:dyDescent="0.25">
      <c r="A109" s="159">
        <v>2016</v>
      </c>
      <c r="B109" s="159">
        <v>5</v>
      </c>
      <c r="C109" s="160">
        <v>1.23E-2</v>
      </c>
      <c r="D109" s="180">
        <f t="shared" si="6"/>
        <v>1.06935E-2</v>
      </c>
      <c r="E109" s="200">
        <v>154067</v>
      </c>
      <c r="F109" s="187">
        <v>2.3599999999999999E-2</v>
      </c>
      <c r="G109" s="187">
        <v>8.9999999999999998E-4</v>
      </c>
      <c r="H109" s="154"/>
      <c r="I109" s="136"/>
      <c r="J109" s="135">
        <f t="shared" si="7"/>
        <v>148401.32995709358</v>
      </c>
      <c r="K109" s="6">
        <f t="shared" si="5"/>
        <v>149988.25957898976</v>
      </c>
    </row>
    <row r="110" spans="1:11" x14ac:dyDescent="0.25">
      <c r="A110" s="159">
        <v>2016</v>
      </c>
      <c r="B110" s="159">
        <v>6</v>
      </c>
      <c r="C110" s="160">
        <v>4.19E-2</v>
      </c>
      <c r="D110" s="180">
        <f t="shared" si="6"/>
        <v>3.6577999999999999E-2</v>
      </c>
      <c r="E110" s="200">
        <v>157192</v>
      </c>
      <c r="F110" s="187">
        <v>6.88E-2</v>
      </c>
      <c r="G110" s="187">
        <v>1.4E-2</v>
      </c>
      <c r="H110" s="154"/>
      <c r="I110" s="136"/>
      <c r="J110" s="135">
        <f t="shared" si="7"/>
        <v>146655.25957898976</v>
      </c>
      <c r="K110" s="6">
        <f t="shared" si="5"/>
        <v>152019.61566387003</v>
      </c>
    </row>
    <row r="111" spans="1:11" x14ac:dyDescent="0.25">
      <c r="A111" s="159">
        <v>2016</v>
      </c>
      <c r="B111" s="159">
        <v>7</v>
      </c>
      <c r="C111" s="160">
        <v>2.1600000000000001E-2</v>
      </c>
      <c r="D111" s="180">
        <f>0.5*(F111-F111*0.13) + 0.5*(G111)</f>
        <v>1.7932999999999998E-2</v>
      </c>
      <c r="E111" s="200">
        <v>157249</v>
      </c>
      <c r="F111" s="187">
        <v>4.1799999999999997E-2</v>
      </c>
      <c r="G111" s="186">
        <v>-5.0000000000000001E-4</v>
      </c>
      <c r="H111" s="154"/>
      <c r="I111" s="136"/>
      <c r="J111" s="135">
        <f t="shared" si="7"/>
        <v>148686.61566387003</v>
      </c>
      <c r="K111" s="6">
        <f t="shared" si="5"/>
        <v>151353.01274257022</v>
      </c>
    </row>
    <row r="112" spans="1:11" x14ac:dyDescent="0.25">
      <c r="A112" s="159">
        <v>2016</v>
      </c>
      <c r="B112" s="159">
        <v>8</v>
      </c>
      <c r="C112" s="160">
        <v>-1.89E-2</v>
      </c>
      <c r="D112" s="180">
        <f>0.5*(F112) + 0.5*(G112-G112*0.05)</f>
        <v>-1.7687499999999998E-2</v>
      </c>
      <c r="E112" s="200">
        <v>150946</v>
      </c>
      <c r="F112" s="186">
        <v>-3.6799999999999999E-2</v>
      </c>
      <c r="G112" s="187">
        <v>1.5E-3</v>
      </c>
      <c r="H112" s="154"/>
      <c r="I112" s="136"/>
      <c r="J112" s="135">
        <f t="shared" si="7"/>
        <v>148020.01274257022</v>
      </c>
      <c r="K112" s="6">
        <f t="shared" si="5"/>
        <v>145401.90876718602</v>
      </c>
    </row>
    <row r="113" spans="1:11" x14ac:dyDescent="0.25">
      <c r="A113" s="159">
        <v>2016</v>
      </c>
      <c r="B113" s="159">
        <v>9</v>
      </c>
      <c r="C113" s="160">
        <v>-1.15E-2</v>
      </c>
      <c r="D113" s="180">
        <f t="shared" ref="D113:D115" si="10">0.5*(F113) + 0.5*(G113)</f>
        <v>-1.115E-2</v>
      </c>
      <c r="E113" s="200">
        <v>145880</v>
      </c>
      <c r="F113" s="186">
        <v>-1.83E-2</v>
      </c>
      <c r="G113" s="186">
        <v>-4.0000000000000001E-3</v>
      </c>
      <c r="H113" s="154"/>
      <c r="I113" s="136"/>
      <c r="J113" s="135">
        <f t="shared" si="7"/>
        <v>142068.90876718602</v>
      </c>
      <c r="K113" s="6">
        <f t="shared" si="5"/>
        <v>140484.84043443188</v>
      </c>
    </row>
    <row r="114" spans="1:11" x14ac:dyDescent="0.25">
      <c r="A114" s="159">
        <v>2016</v>
      </c>
      <c r="B114" s="159">
        <v>10</v>
      </c>
      <c r="C114" s="160">
        <v>-3.3599999999999998E-2</v>
      </c>
      <c r="D114" s="180">
        <f t="shared" si="10"/>
        <v>-3.2649999999999998E-2</v>
      </c>
      <c r="E114" s="200">
        <v>137643</v>
      </c>
      <c r="F114" s="186">
        <v>-5.7200000000000001E-2</v>
      </c>
      <c r="G114" s="186">
        <v>-8.0999999999999996E-3</v>
      </c>
      <c r="H114" s="154"/>
      <c r="I114" s="136"/>
      <c r="J114" s="135">
        <f t="shared" si="7"/>
        <v>137151.84043443188</v>
      </c>
      <c r="K114" s="6">
        <f t="shared" si="5"/>
        <v>132673.83284424769</v>
      </c>
    </row>
    <row r="115" spans="1:11" x14ac:dyDescent="0.25">
      <c r="A115" s="159">
        <v>2016</v>
      </c>
      <c r="B115" s="159">
        <v>11</v>
      </c>
      <c r="C115" s="160">
        <v>-2.5600000000000001E-2</v>
      </c>
      <c r="D115" s="180">
        <f t="shared" si="10"/>
        <v>-2.5750000000000002E-2</v>
      </c>
      <c r="E115" s="200">
        <v>130785</v>
      </c>
      <c r="F115" s="186">
        <v>-1.7299999999999999E-2</v>
      </c>
      <c r="G115" s="186">
        <v>-3.4200000000000001E-2</v>
      </c>
      <c r="H115" s="154"/>
      <c r="I115" s="136"/>
      <c r="J115" s="135">
        <f t="shared" si="7"/>
        <v>129340.83284424769</v>
      </c>
      <c r="K115" s="6">
        <f t="shared" si="5"/>
        <v>126010.30639850831</v>
      </c>
    </row>
    <row r="116" spans="1:11" x14ac:dyDescent="0.25">
      <c r="A116" s="159">
        <v>2016</v>
      </c>
      <c r="B116" s="159">
        <v>12</v>
      </c>
      <c r="C116" s="160">
        <v>2.8500000000000001E-2</v>
      </c>
      <c r="D116" s="180">
        <f t="shared" si="6"/>
        <v>2.4830999999999999E-2</v>
      </c>
      <c r="E116" s="200">
        <v>131179</v>
      </c>
      <c r="F116" s="187">
        <v>4.6600000000000003E-2</v>
      </c>
      <c r="G116" s="187">
        <v>9.5999999999999992E-3</v>
      </c>
      <c r="H116" s="154"/>
      <c r="I116" s="136"/>
      <c r="J116" s="135">
        <f t="shared" si="7"/>
        <v>122677.30639850831</v>
      </c>
      <c r="K116" s="6">
        <f t="shared" si="5"/>
        <v>125723.50659368967</v>
      </c>
    </row>
    <row r="117" spans="1:11" x14ac:dyDescent="0.25">
      <c r="A117" s="159">
        <v>2017</v>
      </c>
      <c r="B117" s="159">
        <v>1</v>
      </c>
      <c r="C117" s="160">
        <v>2.3999999999999998E-3</v>
      </c>
      <c r="D117" s="180">
        <f>0.5*(F117) + 0.5*(G117-G117*0.05)</f>
        <v>2.3175000000000001E-3</v>
      </c>
      <c r="E117" s="200">
        <v>128167</v>
      </c>
      <c r="F117" s="186">
        <v>-4.0000000000000002E-4</v>
      </c>
      <c r="G117" s="187">
        <v>5.3E-3</v>
      </c>
      <c r="H117" s="154"/>
      <c r="I117" s="136"/>
      <c r="J117" s="135">
        <f t="shared" si="7"/>
        <v>122390.50659368967</v>
      </c>
      <c r="K117" s="6">
        <f t="shared" si="5"/>
        <v>122674.14659272054</v>
      </c>
    </row>
    <row r="118" spans="1:11" x14ac:dyDescent="0.25">
      <c r="A118" s="159">
        <v>2017</v>
      </c>
      <c r="B118" s="159">
        <v>2</v>
      </c>
      <c r="C118" s="160">
        <v>0.02</v>
      </c>
      <c r="D118" s="180">
        <f t="shared" si="6"/>
        <v>1.7628000000000001E-2</v>
      </c>
      <c r="E118" s="200">
        <v>127396</v>
      </c>
      <c r="F118" s="187">
        <v>3.4299999999999997E-2</v>
      </c>
      <c r="G118" s="187">
        <v>5.7000000000000002E-3</v>
      </c>
      <c r="H118" s="154"/>
      <c r="I118" s="136"/>
      <c r="J118" s="135">
        <f t="shared" si="7"/>
        <v>119341.14659272054</v>
      </c>
      <c r="K118" s="6">
        <f t="shared" si="5"/>
        <v>121444.89232485702</v>
      </c>
    </row>
    <row r="119" spans="1:11" x14ac:dyDescent="0.25">
      <c r="A119" s="159">
        <v>2017</v>
      </c>
      <c r="B119" s="159">
        <v>3</v>
      </c>
      <c r="C119" s="160">
        <v>-1.04E-2</v>
      </c>
      <c r="D119" s="180">
        <f>0.5*(F119) + 0.5*(G119-G119*0.05)</f>
        <v>-1.03275E-2</v>
      </c>
      <c r="E119" s="200">
        <v>122734</v>
      </c>
      <c r="F119" s="186">
        <v>-2.3599999999999999E-2</v>
      </c>
      <c r="G119" s="187">
        <v>3.0999999999999999E-3</v>
      </c>
      <c r="H119" s="154"/>
      <c r="I119" s="136"/>
      <c r="J119" s="135">
        <f t="shared" si="7"/>
        <v>118111.89232485702</v>
      </c>
      <c r="K119" s="6">
        <f t="shared" si="5"/>
        <v>116892.09175687206</v>
      </c>
    </row>
    <row r="120" spans="1:11" x14ac:dyDescent="0.25">
      <c r="A120" s="159">
        <v>2017</v>
      </c>
      <c r="B120" s="159">
        <v>4</v>
      </c>
      <c r="C120" s="160">
        <v>4.4000000000000003E-3</v>
      </c>
      <c r="D120" s="180">
        <f t="shared" si="6"/>
        <v>4.1200000000000004E-3</v>
      </c>
      <c r="E120" s="200">
        <v>119939</v>
      </c>
      <c r="F120" s="187">
        <v>1.5E-3</v>
      </c>
      <c r="G120" s="187">
        <v>7.3000000000000001E-3</v>
      </c>
      <c r="H120" s="154"/>
      <c r="I120" s="136"/>
      <c r="J120" s="135">
        <f t="shared" si="7"/>
        <v>113559.09175687206</v>
      </c>
      <c r="K120" s="6">
        <f t="shared" si="5"/>
        <v>114026.95521491037</v>
      </c>
    </row>
    <row r="121" spans="1:11" x14ac:dyDescent="0.25">
      <c r="A121" s="159">
        <v>2017</v>
      </c>
      <c r="B121" s="159">
        <v>5</v>
      </c>
      <c r="C121" s="160">
        <v>3.5999999999999999E-3</v>
      </c>
      <c r="D121" s="180">
        <f>0.5*(F121) + 0.5*(G121-G121*0.05)</f>
        <v>3.2575000000000004E-3</v>
      </c>
      <c r="E121" s="200">
        <v>117042</v>
      </c>
      <c r="F121" s="186">
        <v>-6.4999999999999997E-3</v>
      </c>
      <c r="G121" s="187">
        <v>1.37E-2</v>
      </c>
      <c r="H121" s="154"/>
      <c r="I121" s="136"/>
      <c r="J121" s="135">
        <f t="shared" si="7"/>
        <v>110693.95521491037</v>
      </c>
      <c r="K121" s="6">
        <f t="shared" si="5"/>
        <v>111054.54077402294</v>
      </c>
    </row>
    <row r="122" spans="1:11" x14ac:dyDescent="0.25">
      <c r="A122" s="159">
        <v>2017</v>
      </c>
      <c r="B122" s="159">
        <v>6</v>
      </c>
      <c r="C122" s="160">
        <v>8.6E-3</v>
      </c>
      <c r="D122" s="180">
        <f>0.5*(F122-F122*0.13) + 0.5*(G122)</f>
        <v>7.4350000000000006E-3</v>
      </c>
      <c r="E122" s="200">
        <v>114718</v>
      </c>
      <c r="F122" s="187">
        <v>2.1000000000000001E-2</v>
      </c>
      <c r="G122" s="186">
        <v>-3.3999999999999998E-3</v>
      </c>
      <c r="H122" s="154"/>
      <c r="I122" s="136"/>
      <c r="J122" s="135">
        <f t="shared" si="7"/>
        <v>107721.54077402294</v>
      </c>
      <c r="K122" s="6">
        <f t="shared" si="5"/>
        <v>108522.4504296778</v>
      </c>
    </row>
    <row r="123" spans="1:11" x14ac:dyDescent="0.25">
      <c r="A123" s="159">
        <v>2017</v>
      </c>
      <c r="B123" s="159">
        <v>7</v>
      </c>
      <c r="C123" s="160">
        <v>9.4000000000000004E-3</v>
      </c>
      <c r="D123" s="180">
        <f t="shared" si="6"/>
        <v>8.4380000000000011E-3</v>
      </c>
      <c r="E123" s="200">
        <v>112465</v>
      </c>
      <c r="F123" s="187">
        <v>1.23E-2</v>
      </c>
      <c r="G123" s="187">
        <v>6.4999999999999997E-3</v>
      </c>
      <c r="H123" s="154"/>
      <c r="I123" s="136"/>
      <c r="J123" s="135">
        <f t="shared" si="7"/>
        <v>105189.4504296778</v>
      </c>
      <c r="K123" s="6">
        <f t="shared" si="5"/>
        <v>106077.03901240343</v>
      </c>
    </row>
    <row r="124" spans="1:11" x14ac:dyDescent="0.25">
      <c r="A124" s="159">
        <v>2017</v>
      </c>
      <c r="B124" s="159">
        <v>8</v>
      </c>
      <c r="C124" s="160">
        <v>2.7000000000000001E-3</v>
      </c>
      <c r="D124" s="180">
        <f>0.5*(F124) + 0.5*(G124-G124*0.05)</f>
        <v>2.5025000000000004E-3</v>
      </c>
      <c r="E124" s="200">
        <v>109436</v>
      </c>
      <c r="F124" s="186">
        <v>-2.5000000000000001E-3</v>
      </c>
      <c r="G124" s="187">
        <v>7.9000000000000008E-3</v>
      </c>
      <c r="H124" s="154"/>
      <c r="I124" s="136"/>
      <c r="J124" s="135">
        <f t="shared" si="7"/>
        <v>102744.03901240343</v>
      </c>
      <c r="K124" s="6">
        <f t="shared" si="5"/>
        <v>103001.15597003198</v>
      </c>
    </row>
    <row r="125" spans="1:11" x14ac:dyDescent="0.25">
      <c r="A125" s="159">
        <v>2017</v>
      </c>
      <c r="B125" s="159">
        <v>9</v>
      </c>
      <c r="C125" s="160">
        <v>-2.7000000000000001E-3</v>
      </c>
      <c r="D125" s="180">
        <f>0.5*(F125) + 0.5*(G125-G125*0.05)</f>
        <v>-2.5975E-3</v>
      </c>
      <c r="E125" s="200">
        <v>105805</v>
      </c>
      <c r="F125" s="186">
        <v>-1.2999999999999999E-3</v>
      </c>
      <c r="G125" s="187">
        <v>-4.1000000000000003E-3</v>
      </c>
      <c r="H125" s="154"/>
      <c r="I125" s="136"/>
      <c r="J125" s="135">
        <f t="shared" si="7"/>
        <v>99668.155970031978</v>
      </c>
      <c r="K125" s="6">
        <f t="shared" si="5"/>
        <v>99409.267934899821</v>
      </c>
    </row>
    <row r="126" spans="1:11" x14ac:dyDescent="0.25">
      <c r="A126" s="159">
        <v>2017</v>
      </c>
      <c r="B126" s="159">
        <v>10</v>
      </c>
      <c r="C126" s="160">
        <v>-4.5999999999999999E-3</v>
      </c>
      <c r="D126" s="180">
        <f>0.5*(F126) + 0.5*(G126-G126*0.05)</f>
        <v>-4.6224999999999999E-3</v>
      </c>
      <c r="E126" s="200">
        <v>101983</v>
      </c>
      <c r="F126" s="186">
        <v>-1.01E-2</v>
      </c>
      <c r="G126" s="187">
        <v>8.9999999999999998E-4</v>
      </c>
      <c r="H126" s="154"/>
      <c r="I126" s="136"/>
      <c r="J126" s="135">
        <f t="shared" si="7"/>
        <v>96076.267934899821</v>
      </c>
      <c r="K126" s="6">
        <f t="shared" si="5"/>
        <v>95632.155386370752</v>
      </c>
    </row>
    <row r="127" spans="1:11" x14ac:dyDescent="0.25">
      <c r="A127" s="159">
        <v>2017</v>
      </c>
      <c r="B127" s="159">
        <v>11</v>
      </c>
      <c r="C127" s="160">
        <v>9.4999999999999998E-3</v>
      </c>
      <c r="D127" s="180">
        <f>0.5*(F127-F127*0.13) + 0.5*(G127)</f>
        <v>7.9839999999999998E-3</v>
      </c>
      <c r="E127" s="200">
        <v>99623</v>
      </c>
      <c r="F127" s="187">
        <v>2.64E-2</v>
      </c>
      <c r="G127" s="186">
        <v>-7.0000000000000001E-3</v>
      </c>
      <c r="H127" s="154"/>
      <c r="I127" s="136"/>
      <c r="J127" s="135">
        <f t="shared" si="7"/>
        <v>92299.155386370752</v>
      </c>
      <c r="K127" s="6">
        <f t="shared" si="5"/>
        <v>93036.071842975536</v>
      </c>
    </row>
    <row r="128" spans="1:11" x14ac:dyDescent="0.25">
      <c r="A128" s="159">
        <v>2017</v>
      </c>
      <c r="B128" s="159">
        <v>12</v>
      </c>
      <c r="C128" s="160">
        <v>3.2000000000000002E-3</v>
      </c>
      <c r="D128" s="180">
        <f>0.5*(F128) + 0.5*(G128-G128*0.05)</f>
        <v>2.9824999999999999E-3</v>
      </c>
      <c r="E128" s="200">
        <v>96609</v>
      </c>
      <c r="F128" s="186">
        <v>-2.3E-3</v>
      </c>
      <c r="G128" s="187">
        <v>8.6999999999999994E-3</v>
      </c>
      <c r="H128" s="154"/>
      <c r="I128" s="136"/>
      <c r="J128" s="135">
        <f t="shared" si="7"/>
        <v>89703.071842975536</v>
      </c>
      <c r="K128" s="6">
        <f t="shared" si="5"/>
        <v>89970.611254747215</v>
      </c>
    </row>
    <row r="129" spans="1:11" x14ac:dyDescent="0.25">
      <c r="A129" s="159">
        <v>2018</v>
      </c>
      <c r="B129" s="159">
        <v>1</v>
      </c>
      <c r="C129" s="160">
        <v>-2.63E-2</v>
      </c>
      <c r="D129" s="180">
        <f>0.5*(F129) + 0.5*(G129-G129*0.05)</f>
        <v>-2.5989999999999999E-2</v>
      </c>
      <c r="E129" s="200">
        <v>90740</v>
      </c>
      <c r="F129" s="186">
        <v>-4.2099999999999999E-2</v>
      </c>
      <c r="G129" s="187">
        <v>-1.04E-2</v>
      </c>
      <c r="H129" s="154"/>
      <c r="I129" s="136"/>
      <c r="J129" s="135">
        <f t="shared" si="7"/>
        <v>86637.611254747215</v>
      </c>
      <c r="K129" s="6">
        <f t="shared" si="5"/>
        <v>84385.89973823633</v>
      </c>
    </row>
    <row r="130" spans="1:11" x14ac:dyDescent="0.25">
      <c r="A130" s="159">
        <v>2018</v>
      </c>
      <c r="B130" s="159">
        <v>2</v>
      </c>
      <c r="C130" s="160">
        <v>-3.9100000000000003E-2</v>
      </c>
      <c r="D130" s="180">
        <f t="shared" ref="D130" si="11">0.5*(F130) + 0.5*(G130)</f>
        <v>-3.9699999999999999E-2</v>
      </c>
      <c r="E130" s="200">
        <v>83858</v>
      </c>
      <c r="F130" s="186">
        <v>-7.6499999999999999E-2</v>
      </c>
      <c r="G130" s="186">
        <v>-2.8999999999999998E-3</v>
      </c>
      <c r="H130" s="154"/>
      <c r="I130" s="136"/>
      <c r="J130" s="135">
        <f t="shared" si="7"/>
        <v>81052.89973823633</v>
      </c>
      <c r="K130" s="6">
        <f t="shared" si="5"/>
        <v>77835.099618628345</v>
      </c>
    </row>
    <row r="131" spans="1:11" x14ac:dyDescent="0.25">
      <c r="A131" s="159">
        <v>2018</v>
      </c>
      <c r="B131" s="159">
        <v>3</v>
      </c>
      <c r="C131" s="160">
        <v>1.9400000000000001E-2</v>
      </c>
      <c r="D131" s="180">
        <f t="shared" si="6"/>
        <v>1.78005E-2</v>
      </c>
      <c r="E131" s="200">
        <v>82148</v>
      </c>
      <c r="F131" s="187">
        <v>3.8300000000000001E-2</v>
      </c>
      <c r="G131" s="187">
        <v>2.3999999999999998E-3</v>
      </c>
      <c r="H131" s="154"/>
      <c r="I131" s="136"/>
      <c r="J131" s="135">
        <f t="shared" si="7"/>
        <v>74502.099618628345</v>
      </c>
      <c r="K131" s="6">
        <f t="shared" si="5"/>
        <v>75828.274242889733</v>
      </c>
    </row>
    <row r="132" spans="1:11" x14ac:dyDescent="0.25">
      <c r="A132" s="159">
        <v>2018</v>
      </c>
      <c r="B132" s="159">
        <v>4</v>
      </c>
      <c r="C132" s="160">
        <v>2.2000000000000001E-3</v>
      </c>
      <c r="D132" s="180">
        <f>0.5*(F132-F132*0.13) + 0.5*(G132)</f>
        <v>1.9039999999999997E-3</v>
      </c>
      <c r="E132" s="200">
        <v>78999</v>
      </c>
      <c r="F132" s="187">
        <v>8.3999999999999995E-3</v>
      </c>
      <c r="G132" s="186">
        <v>-3.5000000000000001E-3</v>
      </c>
      <c r="H132" s="154"/>
      <c r="I132" s="136"/>
      <c r="J132" s="135">
        <f t="shared" si="7"/>
        <v>72495.274242889733</v>
      </c>
      <c r="K132" s="6">
        <f t="shared" si="5"/>
        <v>72633.305245048192</v>
      </c>
    </row>
    <row r="133" spans="1:11" x14ac:dyDescent="0.25">
      <c r="A133" s="159">
        <v>2018</v>
      </c>
      <c r="B133" s="159">
        <v>5</v>
      </c>
      <c r="C133" s="160">
        <v>2.2800000000000001E-2</v>
      </c>
      <c r="D133" s="180">
        <f t="shared" si="6"/>
        <v>2.06E-2</v>
      </c>
      <c r="E133" s="200">
        <v>77465</v>
      </c>
      <c r="F133" s="187">
        <v>3.5999999999999997E-2</v>
      </c>
      <c r="G133" s="187">
        <v>1.04E-2</v>
      </c>
      <c r="H133" s="154"/>
      <c r="I133" s="136"/>
      <c r="J133" s="135">
        <f t="shared" si="7"/>
        <v>69300.305245048192</v>
      </c>
      <c r="K133" s="6">
        <f t="shared" si="5"/>
        <v>70727.89153309619</v>
      </c>
    </row>
    <row r="134" spans="1:11" x14ac:dyDescent="0.25">
      <c r="A134" s="159">
        <v>2018</v>
      </c>
      <c r="B134" s="159">
        <v>6</v>
      </c>
      <c r="C134" s="160">
        <v>2.07E-2</v>
      </c>
      <c r="D134" s="180">
        <f t="shared" si="6"/>
        <v>1.8393000000000003E-2</v>
      </c>
      <c r="E134" s="200">
        <v>75737</v>
      </c>
      <c r="F134" s="187">
        <v>4.1300000000000003E-2</v>
      </c>
      <c r="G134" s="187">
        <v>8.9999999999999998E-4</v>
      </c>
      <c r="H134" s="154"/>
      <c r="I134" s="136"/>
      <c r="J134" s="135">
        <f t="shared" si="7"/>
        <v>67394.89153309619</v>
      </c>
      <c r="K134" s="6">
        <f t="shared" si="5"/>
        <v>68634.485773064429</v>
      </c>
    </row>
    <row r="135" spans="1:11" x14ac:dyDescent="0.25">
      <c r="A135" s="159">
        <v>2018</v>
      </c>
      <c r="B135" s="159">
        <v>7</v>
      </c>
      <c r="C135" s="160">
        <v>4.8999999999999998E-3</v>
      </c>
      <c r="D135" s="180">
        <f t="shared" si="6"/>
        <v>4.359E-3</v>
      </c>
      <c r="E135" s="200">
        <v>72774</v>
      </c>
      <c r="F135" s="187">
        <v>7.4000000000000003E-3</v>
      </c>
      <c r="G135" s="187">
        <v>2.3999999999999998E-3</v>
      </c>
      <c r="H135" s="154"/>
      <c r="I135" s="136"/>
      <c r="J135" s="135">
        <f t="shared" si="7"/>
        <v>65301.485773064429</v>
      </c>
      <c r="K135" s="6">
        <f t="shared" si="5"/>
        <v>65586.134949549218</v>
      </c>
    </row>
    <row r="136" spans="1:11" x14ac:dyDescent="0.25">
      <c r="A136" s="159">
        <v>2018</v>
      </c>
      <c r="B136" s="159">
        <v>8</v>
      </c>
      <c r="C136" s="160">
        <v>1.32E-2</v>
      </c>
      <c r="D136" s="180">
        <f t="shared" si="6"/>
        <v>1.15085E-2</v>
      </c>
      <c r="E136" s="200">
        <v>70400</v>
      </c>
      <c r="F136" s="187">
        <v>2.46E-2</v>
      </c>
      <c r="G136" s="187">
        <v>1.6999999999999999E-3</v>
      </c>
      <c r="H136" s="154"/>
      <c r="I136" s="136"/>
      <c r="J136" s="135">
        <f t="shared" si="7"/>
        <v>62253.134949549218</v>
      </c>
      <c r="K136" s="6">
        <f t="shared" si="5"/>
        <v>62969.575153116108</v>
      </c>
    </row>
    <row r="137" spans="1:11" x14ac:dyDescent="0.25">
      <c r="A137" s="159">
        <v>2018</v>
      </c>
      <c r="B137" s="159">
        <v>9</v>
      </c>
      <c r="C137" s="160">
        <v>-1.5699999999999999E-2</v>
      </c>
      <c r="D137" s="180">
        <f t="shared" ref="D137:D138" si="12">0.5*(F137) + 0.5*(G137)</f>
        <v>-1.555E-2</v>
      </c>
      <c r="E137" s="200">
        <v>65959</v>
      </c>
      <c r="F137" s="186">
        <v>-2.63E-2</v>
      </c>
      <c r="G137" s="186">
        <v>-4.7999999999999996E-3</v>
      </c>
      <c r="H137" s="154"/>
      <c r="I137" s="136"/>
      <c r="J137" s="135">
        <f t="shared" si="7"/>
        <v>59636.575153116108</v>
      </c>
      <c r="K137" s="6">
        <f t="shared" si="5"/>
        <v>58709.226409485149</v>
      </c>
    </row>
    <row r="138" spans="1:11" x14ac:dyDescent="0.25">
      <c r="A138" s="159">
        <v>2018</v>
      </c>
      <c r="B138" s="159">
        <v>10</v>
      </c>
      <c r="C138" s="160">
        <v>-1.78E-2</v>
      </c>
      <c r="D138" s="180">
        <f t="shared" si="12"/>
        <v>-1.77E-2</v>
      </c>
      <c r="E138" s="200">
        <v>61453</v>
      </c>
      <c r="F138" s="186">
        <v>-2.98E-2</v>
      </c>
      <c r="G138" s="186">
        <v>-5.5999999999999999E-3</v>
      </c>
      <c r="H138" s="154"/>
      <c r="I138" s="136"/>
      <c r="J138" s="135">
        <f t="shared" si="7"/>
        <v>55376.226409485149</v>
      </c>
      <c r="K138" s="6">
        <f t="shared" si="5"/>
        <v>54396.067202037259</v>
      </c>
    </row>
    <row r="139" spans="1:11" x14ac:dyDescent="0.25">
      <c r="A139" s="159">
        <v>2018</v>
      </c>
      <c r="B139" s="159">
        <v>11</v>
      </c>
      <c r="C139" s="160">
        <v>2.87E-2</v>
      </c>
      <c r="D139" s="180">
        <f t="shared" si="6"/>
        <v>2.55155E-2</v>
      </c>
      <c r="E139" s="200">
        <v>59884</v>
      </c>
      <c r="F139" s="187">
        <v>4.7300000000000002E-2</v>
      </c>
      <c r="G139" s="187">
        <v>1.04E-2</v>
      </c>
      <c r="H139" s="154"/>
      <c r="I139" s="136"/>
      <c r="J139" s="135">
        <f t="shared" si="7"/>
        <v>51063.067202037259</v>
      </c>
      <c r="K139" s="6">
        <f t="shared" si="5"/>
        <v>52365.966893230841</v>
      </c>
    </row>
    <row r="140" spans="1:11" x14ac:dyDescent="0.25">
      <c r="A140" s="159">
        <v>2018</v>
      </c>
      <c r="B140" s="159">
        <v>12</v>
      </c>
      <c r="C140" s="160">
        <v>-3.44E-2</v>
      </c>
      <c r="D140" s="180">
        <f>0.5*(F140) + 0.5*(G140-G140*0.05)</f>
        <v>-3.4197499999999999E-2</v>
      </c>
      <c r="E140" s="200">
        <v>54494</v>
      </c>
      <c r="F140" s="186">
        <v>-7.9699999999999993E-2</v>
      </c>
      <c r="G140" s="187">
        <v>1.1900000000000001E-2</v>
      </c>
      <c r="H140" s="154"/>
      <c r="I140" s="136"/>
      <c r="J140" s="135">
        <f t="shared" si="7"/>
        <v>49032.966893230841</v>
      </c>
      <c r="K140" s="6">
        <f t="shared" si="5"/>
        <v>47356.162007899577</v>
      </c>
    </row>
    <row r="141" spans="1:11" x14ac:dyDescent="0.25">
      <c r="A141" s="159">
        <v>2019</v>
      </c>
      <c r="B141" s="159">
        <v>1</v>
      </c>
      <c r="C141" s="160">
        <v>6.2799999999999995E-2</v>
      </c>
      <c r="D141" s="180">
        <f t="shared" si="6"/>
        <v>5.4964000000000006E-2</v>
      </c>
      <c r="E141" s="200">
        <v>54582</v>
      </c>
      <c r="F141" s="187">
        <v>0.1174</v>
      </c>
      <c r="G141" s="187">
        <v>8.2000000000000007E-3</v>
      </c>
      <c r="H141" s="154"/>
      <c r="I141" s="136"/>
      <c r="J141" s="135">
        <f t="shared" si="7"/>
        <v>44023.162007899577</v>
      </c>
      <c r="K141" s="6">
        <f t="shared" si="5"/>
        <v>46442.851084501766</v>
      </c>
    </row>
    <row r="142" spans="1:11" x14ac:dyDescent="0.25">
      <c r="A142" s="159">
        <v>2019</v>
      </c>
      <c r="B142" s="159">
        <v>2</v>
      </c>
      <c r="C142" s="160">
        <v>6.1999999999999998E-3</v>
      </c>
      <c r="D142" s="180">
        <f t="shared" si="6"/>
        <v>5.5069999999999997E-3</v>
      </c>
      <c r="E142" s="200">
        <v>51586</v>
      </c>
      <c r="F142" s="187">
        <v>7.1999999999999998E-3</v>
      </c>
      <c r="G142" s="187">
        <v>5.0000000000000001E-3</v>
      </c>
      <c r="H142" s="154"/>
      <c r="I142" s="136"/>
      <c r="J142" s="135">
        <f t="shared" si="7"/>
        <v>43109.851084501766</v>
      </c>
      <c r="K142" s="6">
        <f t="shared" si="5"/>
        <v>43347.257034424118</v>
      </c>
    </row>
    <row r="143" spans="1:11" x14ac:dyDescent="0.25">
      <c r="A143" s="159">
        <v>2019</v>
      </c>
      <c r="B143" s="159">
        <v>3</v>
      </c>
      <c r="C143" s="160">
        <v>2.8199999999999999E-2</v>
      </c>
      <c r="D143" s="180">
        <f t="shared" si="6"/>
        <v>2.4357999999999998E-2</v>
      </c>
      <c r="E143" s="200">
        <v>49705</v>
      </c>
      <c r="F143" s="187">
        <v>4.1799999999999997E-2</v>
      </c>
      <c r="G143" s="187">
        <v>1.2999999999999999E-2</v>
      </c>
      <c r="H143" s="154"/>
      <c r="I143" s="136"/>
      <c r="J143" s="135">
        <f t="shared" si="7"/>
        <v>40014.257034424118</v>
      </c>
      <c r="K143" s="6">
        <f t="shared" si="5"/>
        <v>40988.924307268622</v>
      </c>
    </row>
    <row r="144" spans="1:11" x14ac:dyDescent="0.25">
      <c r="A144" s="159">
        <v>2019</v>
      </c>
      <c r="B144" s="159">
        <v>4</v>
      </c>
      <c r="C144" s="160">
        <v>8.0000000000000004E-4</v>
      </c>
      <c r="D144" s="180">
        <f>0.5*(F144) + 0.5*(G144-G144*0.05)</f>
        <v>8.7749999999999981E-4</v>
      </c>
      <c r="E144" s="200">
        <v>46413</v>
      </c>
      <c r="F144" s="186">
        <v>-1E-3</v>
      </c>
      <c r="G144" s="187">
        <v>2.8999999999999998E-3</v>
      </c>
      <c r="H144" s="154"/>
      <c r="I144" s="136"/>
      <c r="J144" s="135">
        <f t="shared" si="7"/>
        <v>37655.924307268622</v>
      </c>
      <c r="K144" s="6">
        <f t="shared" si="5"/>
        <v>37688.967380848248</v>
      </c>
    </row>
    <row r="145" spans="1:11" x14ac:dyDescent="0.25">
      <c r="A145" s="159">
        <v>2019</v>
      </c>
      <c r="B145" s="159">
        <v>5</v>
      </c>
      <c r="C145" s="160">
        <v>6.8999999999999999E-3</v>
      </c>
      <c r="D145" s="180">
        <f t="shared" si="6"/>
        <v>6.8949999999999992E-3</v>
      </c>
      <c r="E145" s="200">
        <v>43400</v>
      </c>
      <c r="F145" s="187">
        <v>1E-3</v>
      </c>
      <c r="G145" s="187">
        <v>1.3599999999999999E-2</v>
      </c>
      <c r="H145" s="154"/>
      <c r="I145" s="136"/>
      <c r="J145" s="135">
        <f t="shared" si="7"/>
        <v>34355.967380848248</v>
      </c>
      <c r="K145" s="6">
        <f t="shared" si="5"/>
        <v>34592.851775939198</v>
      </c>
    </row>
    <row r="146" spans="1:11" x14ac:dyDescent="0.25">
      <c r="A146" s="159">
        <v>2019</v>
      </c>
      <c r="B146" s="159">
        <v>6</v>
      </c>
      <c r="C146" s="160">
        <v>1.06E-2</v>
      </c>
      <c r="D146" s="180">
        <f t="shared" si="6"/>
        <v>9.0615000000000001E-3</v>
      </c>
      <c r="E146" s="200">
        <v>40527</v>
      </c>
      <c r="F146" s="187">
        <v>1.6899999999999998E-2</v>
      </c>
      <c r="G146" s="187">
        <v>3.5999999999999999E-3</v>
      </c>
      <c r="H146" s="154"/>
      <c r="I146" s="136"/>
      <c r="J146" s="135">
        <f t="shared" si="7"/>
        <v>31259.851775939198</v>
      </c>
      <c r="K146" s="6">
        <f t="shared" si="5"/>
        <v>31543.112922806871</v>
      </c>
    </row>
    <row r="147" spans="1:11" x14ac:dyDescent="0.25">
      <c r="A147" s="159">
        <v>2019</v>
      </c>
      <c r="B147" s="159">
        <v>7</v>
      </c>
      <c r="C147" s="160">
        <v>1.21E-2</v>
      </c>
      <c r="D147" s="180">
        <f t="shared" si="6"/>
        <v>1.0578000000000001E-2</v>
      </c>
      <c r="E147" s="200">
        <v>37682</v>
      </c>
      <c r="F147" s="187">
        <v>1.5800000000000002E-2</v>
      </c>
      <c r="G147" s="187">
        <v>7.7999999999999996E-3</v>
      </c>
      <c r="H147" s="154"/>
      <c r="I147" s="136"/>
      <c r="J147" s="135">
        <f t="shared" si="7"/>
        <v>28210.112922806871</v>
      </c>
      <c r="K147" s="6">
        <f t="shared" si="5"/>
        <v>28508.519497304322</v>
      </c>
    </row>
    <row r="148" spans="1:11" x14ac:dyDescent="0.25">
      <c r="A148" s="159">
        <v>2019</v>
      </c>
      <c r="B148" s="159">
        <v>8</v>
      </c>
      <c r="C148" s="160">
        <v>2.6200000000000001E-2</v>
      </c>
      <c r="D148" s="180">
        <f t="shared" si="6"/>
        <v>2.2626E-2</v>
      </c>
      <c r="E148" s="200">
        <v>35338</v>
      </c>
      <c r="F148" s="187">
        <v>3.7600000000000001E-2</v>
      </c>
      <c r="G148" s="187">
        <v>1.32E-2</v>
      </c>
      <c r="H148" s="154"/>
      <c r="I148" s="136"/>
      <c r="J148" s="135">
        <f t="shared" si="7"/>
        <v>25175.519497304322</v>
      </c>
      <c r="K148" s="6">
        <f t="shared" si="5"/>
        <v>25745.140801450329</v>
      </c>
    </row>
    <row r="149" spans="1:11" x14ac:dyDescent="0.25">
      <c r="A149" s="170">
        <v>2019</v>
      </c>
      <c r="B149" s="170">
        <v>9</v>
      </c>
      <c r="C149" s="171">
        <v>6.7000000000000002E-3</v>
      </c>
      <c r="D149" s="180">
        <f t="shared" si="6"/>
        <v>4.6589999999999999E-3</v>
      </c>
      <c r="E149" s="200">
        <v>32243</v>
      </c>
      <c r="F149" s="187">
        <v>1.89E-2</v>
      </c>
      <c r="G149" s="187">
        <v>-7.4999999999999997E-3</v>
      </c>
      <c r="H149" s="154"/>
      <c r="I149" s="136"/>
      <c r="J149" s="135">
        <f t="shared" si="7"/>
        <v>22412.140801450329</v>
      </c>
      <c r="K149" s="6">
        <f t="shared" si="5"/>
        <v>22516.558965444285</v>
      </c>
    </row>
    <row r="150" spans="1:11" x14ac:dyDescent="0.25">
      <c r="A150" s="159">
        <v>2019</v>
      </c>
      <c r="B150" s="159">
        <v>10</v>
      </c>
      <c r="C150" s="160">
        <v>6.4999999999999997E-3</v>
      </c>
      <c r="D150" s="180">
        <f t="shared" si="6"/>
        <v>5.2759999999999994E-3</v>
      </c>
      <c r="E150" s="200">
        <v>29118</v>
      </c>
      <c r="F150" s="187">
        <v>1.06E-2</v>
      </c>
      <c r="G150" s="187">
        <v>1.4E-3</v>
      </c>
      <c r="H150" s="154"/>
      <c r="I150" s="136"/>
      <c r="J150" s="135">
        <f t="shared" si="7"/>
        <v>19183.558965444285</v>
      </c>
      <c r="K150" s="6">
        <f t="shared" si="5"/>
        <v>19284.771422545968</v>
      </c>
    </row>
    <row r="151" spans="1:11" x14ac:dyDescent="0.25">
      <c r="A151" s="9">
        <v>2019</v>
      </c>
      <c r="B151" s="9">
        <v>11</v>
      </c>
      <c r="C151" s="136">
        <v>-6.4000000000000003E-3</v>
      </c>
      <c r="D151" s="180">
        <f>0.5*(F151) + 0.5*(G151-G151*0.05)</f>
        <v>-5.7350000000000005E-3</v>
      </c>
      <c r="E151" s="200">
        <v>25599</v>
      </c>
      <c r="F151" s="186">
        <v>-1.2800000000000001E-2</v>
      </c>
      <c r="G151" s="187">
        <v>1.4E-3</v>
      </c>
      <c r="H151" s="154"/>
      <c r="I151" s="136"/>
      <c r="J151" s="135">
        <f t="shared" si="7"/>
        <v>15951.771422545968</v>
      </c>
      <c r="K151" s="6">
        <f t="shared" si="5"/>
        <v>15860.288013437666</v>
      </c>
    </row>
    <row r="152" spans="1:11" x14ac:dyDescent="0.25">
      <c r="A152" s="156">
        <v>2019</v>
      </c>
      <c r="B152" s="156">
        <v>12</v>
      </c>
      <c r="C152" s="157">
        <v>6.0000000000000001E-3</v>
      </c>
      <c r="D152" s="180">
        <f t="shared" si="6"/>
        <v>5.1859999999999996E-3</v>
      </c>
      <c r="E152" s="200">
        <v>22420</v>
      </c>
      <c r="F152" s="187">
        <v>8.0999999999999996E-3</v>
      </c>
      <c r="G152" s="187">
        <v>3.5000000000000001E-3</v>
      </c>
      <c r="H152" s="154"/>
      <c r="I152" s="166"/>
      <c r="J152" s="135">
        <f t="shared" si="7"/>
        <v>12527.288013437666</v>
      </c>
      <c r="K152" s="109">
        <f t="shared" si="5"/>
        <v>12592.254529075355</v>
      </c>
    </row>
    <row r="153" spans="1:11" x14ac:dyDescent="0.25">
      <c r="A153" s="9" t="s">
        <v>21</v>
      </c>
      <c r="D153" s="180">
        <f t="shared" si="6"/>
        <v>0</v>
      </c>
      <c r="F153" s="207"/>
      <c r="H153" s="87"/>
      <c r="J153" s="135" t="s">
        <v>36</v>
      </c>
      <c r="K153" s="6" t="s">
        <v>36</v>
      </c>
    </row>
    <row r="154" spans="1:11" x14ac:dyDescent="0.25">
      <c r="F154" s="207"/>
      <c r="H154" s="87"/>
    </row>
    <row r="155" spans="1:11" x14ac:dyDescent="0.25">
      <c r="F155" s="207"/>
      <c r="H155" s="87"/>
    </row>
    <row r="156" spans="1:11" x14ac:dyDescent="0.25">
      <c r="F156" s="207"/>
      <c r="H156" s="87"/>
    </row>
    <row r="157" spans="1:11" x14ac:dyDescent="0.25">
      <c r="F157" s="207"/>
      <c r="H157" s="87"/>
    </row>
    <row r="158" spans="1:11" x14ac:dyDescent="0.25">
      <c r="H158" s="87"/>
    </row>
    <row r="159" spans="1:11" x14ac:dyDescent="0.25">
      <c r="H159" s="87"/>
    </row>
    <row r="160" spans="1:11" x14ac:dyDescent="0.25">
      <c r="H160" s="87"/>
    </row>
    <row r="161" spans="8:8" x14ac:dyDescent="0.25">
      <c r="H161" s="87"/>
    </row>
    <row r="162" spans="8:8" x14ac:dyDescent="0.25">
      <c r="H162" s="87"/>
    </row>
    <row r="163" spans="8:8" x14ac:dyDescent="0.25">
      <c r="H163" s="87"/>
    </row>
    <row r="164" spans="8:8" x14ac:dyDescent="0.25">
      <c r="H164" s="87"/>
    </row>
    <row r="165" spans="8:8" x14ac:dyDescent="0.25">
      <c r="H165" s="87"/>
    </row>
    <row r="166" spans="8:8" x14ac:dyDescent="0.25">
      <c r="H166" s="87"/>
    </row>
    <row r="167" spans="8:8" x14ac:dyDescent="0.25">
      <c r="H167" s="87"/>
    </row>
    <row r="168" spans="8:8" x14ac:dyDescent="0.25">
      <c r="H168" s="87"/>
    </row>
    <row r="169" spans="8:8" x14ac:dyDescent="0.25">
      <c r="H169" s="87"/>
    </row>
    <row r="170" spans="8:8" x14ac:dyDescent="0.25">
      <c r="H170" s="87"/>
    </row>
    <row r="171" spans="8:8" x14ac:dyDescent="0.25">
      <c r="H171" s="87"/>
    </row>
    <row r="172" spans="8:8" x14ac:dyDescent="0.25">
      <c r="H172" s="87"/>
    </row>
    <row r="173" spans="8:8" x14ac:dyDescent="0.25">
      <c r="H173" s="87"/>
    </row>
    <row r="174" spans="8:8" x14ac:dyDescent="0.25">
      <c r="H174" s="87"/>
    </row>
    <row r="175" spans="8:8" x14ac:dyDescent="0.25">
      <c r="H175" s="87"/>
    </row>
    <row r="176" spans="8:8" x14ac:dyDescent="0.25">
      <c r="H176" s="87"/>
    </row>
    <row r="177" spans="8:8" x14ac:dyDescent="0.25">
      <c r="H177" s="87"/>
    </row>
    <row r="178" spans="8:8" x14ac:dyDescent="0.25">
      <c r="H178" s="87"/>
    </row>
    <row r="179" spans="8:8" x14ac:dyDescent="0.25">
      <c r="H179" s="87"/>
    </row>
    <row r="180" spans="8:8" x14ac:dyDescent="0.25">
      <c r="H180" s="87"/>
    </row>
    <row r="181" spans="8:8" x14ac:dyDescent="0.25">
      <c r="H181" s="87"/>
    </row>
    <row r="182" spans="8:8" x14ac:dyDescent="0.25">
      <c r="H182" s="87"/>
    </row>
    <row r="183" spans="8:8" x14ac:dyDescent="0.25">
      <c r="H183" s="87"/>
    </row>
    <row r="184" spans="8:8" x14ac:dyDescent="0.25">
      <c r="H184" s="87"/>
    </row>
    <row r="185" spans="8:8" x14ac:dyDescent="0.25">
      <c r="H185" s="87"/>
    </row>
    <row r="186" spans="8:8" x14ac:dyDescent="0.25">
      <c r="H186" s="87"/>
    </row>
    <row r="187" spans="8:8" x14ac:dyDescent="0.25">
      <c r="H187" s="87"/>
    </row>
    <row r="188" spans="8:8" x14ac:dyDescent="0.25">
      <c r="H188" s="87"/>
    </row>
    <row r="189" spans="8:8" x14ac:dyDescent="0.25">
      <c r="H189" s="87"/>
    </row>
    <row r="190" spans="8:8" x14ac:dyDescent="0.25">
      <c r="H190" s="87"/>
    </row>
    <row r="191" spans="8:8" x14ac:dyDescent="0.25">
      <c r="H191" s="87"/>
    </row>
    <row r="192" spans="8:8" x14ac:dyDescent="0.25">
      <c r="H192" s="87"/>
    </row>
    <row r="193" spans="8:8" x14ac:dyDescent="0.25">
      <c r="H193" s="87"/>
    </row>
    <row r="194" spans="8:8" x14ac:dyDescent="0.25">
      <c r="H194" s="87"/>
    </row>
    <row r="195" spans="8:8" x14ac:dyDescent="0.25">
      <c r="H195" s="87"/>
    </row>
    <row r="196" spans="8:8" x14ac:dyDescent="0.25">
      <c r="H196" s="8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3D1CE-7B94-4E77-841B-669185BE6B14}">
  <dimension ref="A1:V157"/>
  <sheetViews>
    <sheetView workbookViewId="0"/>
  </sheetViews>
  <sheetFormatPr defaultRowHeight="15" x14ac:dyDescent="0.25"/>
  <cols>
    <col min="1" max="4" width="9.140625" style="9"/>
    <col min="5" max="5" width="18.140625" style="9" bestFit="1" customWidth="1"/>
    <col min="6" max="9" width="9.140625" style="9"/>
    <col min="10" max="10" width="10.42578125" style="9" customWidth="1"/>
    <col min="11" max="16384" width="9.140625" style="9"/>
  </cols>
  <sheetData>
    <row r="1" spans="1:22" x14ac:dyDescent="0.25">
      <c r="A1" s="9" t="s">
        <v>43</v>
      </c>
      <c r="K1" s="9" t="s">
        <v>72</v>
      </c>
      <c r="L1" s="9" t="s">
        <v>6</v>
      </c>
      <c r="M1" s="130">
        <f>C4*5</f>
        <v>0.35822500000000002</v>
      </c>
      <c r="N1" s="131">
        <f>M1/M2</f>
        <v>1.9259408602150538</v>
      </c>
      <c r="R1" s="130">
        <f>C4</f>
        <v>7.1645E-2</v>
      </c>
      <c r="V1" s="173">
        <f>D4</f>
        <v>1.7571547407089015E-2</v>
      </c>
    </row>
    <row r="2" spans="1:22" ht="90" x14ac:dyDescent="0.25">
      <c r="A2" s="9" t="s">
        <v>0</v>
      </c>
      <c r="B2" s="9" t="s">
        <v>1</v>
      </c>
      <c r="C2" s="9" t="s">
        <v>2</v>
      </c>
      <c r="E2" s="9" t="s">
        <v>3</v>
      </c>
      <c r="F2" s="132" t="s">
        <v>35</v>
      </c>
      <c r="G2" s="132" t="s">
        <v>56</v>
      </c>
      <c r="H2" s="132" t="s">
        <v>42</v>
      </c>
      <c r="I2" s="9" t="s">
        <v>82</v>
      </c>
      <c r="L2" s="9" t="s">
        <v>7</v>
      </c>
      <c r="M2" s="134">
        <v>0.186</v>
      </c>
      <c r="P2" s="9" t="s">
        <v>8</v>
      </c>
      <c r="Q2" s="9">
        <v>200000</v>
      </c>
      <c r="R2" s="9">
        <v>40000</v>
      </c>
      <c r="S2" s="9" t="s">
        <v>9</v>
      </c>
      <c r="T2" s="9" t="s">
        <v>8</v>
      </c>
      <c r="U2" s="9">
        <v>200000</v>
      </c>
      <c r="V2" s="9">
        <v>40000</v>
      </c>
    </row>
    <row r="3" spans="1:22" ht="15.75" thickBot="1" x14ac:dyDescent="0.3">
      <c r="A3" s="9" t="s">
        <v>5</v>
      </c>
      <c r="J3" s="180">
        <f>G4*0.75</f>
        <v>6.6967500000000013E-2</v>
      </c>
      <c r="P3" s="9">
        <v>1</v>
      </c>
      <c r="Q3" s="9">
        <f>Q2 - R2</f>
        <v>160000</v>
      </c>
      <c r="R3" s="135">
        <f>Q3*(1+R1)</f>
        <v>171463.19999999998</v>
      </c>
      <c r="T3" s="9">
        <v>1</v>
      </c>
      <c r="U3" s="9">
        <f>U2 - V2</f>
        <v>160000</v>
      </c>
      <c r="V3" s="135">
        <f>U3*(1+V1)</f>
        <v>162811.44758513424</v>
      </c>
    </row>
    <row r="4" spans="1:22" x14ac:dyDescent="0.25">
      <c r="C4" s="136">
        <f>AVERAGE(C5:C24)</f>
        <v>7.1645E-2</v>
      </c>
      <c r="D4" s="136">
        <f>AVERAGE(D5:D24)</f>
        <v>1.7571547407089015E-2</v>
      </c>
      <c r="F4" s="136">
        <f>AVERAGE(F5:F24)</f>
        <v>4.4354999999999992E-2</v>
      </c>
      <c r="G4" s="136">
        <f t="shared" ref="G4:J4" si="0">AVERAGE(G5:G24)</f>
        <v>8.9290000000000008E-2</v>
      </c>
      <c r="H4" s="136">
        <f t="shared" si="0"/>
        <v>7.647000000000001E-2</v>
      </c>
      <c r="I4" s="130" t="s">
        <v>36</v>
      </c>
      <c r="J4" s="178">
        <f t="shared" si="0"/>
        <v>6.7116743075453691E-2</v>
      </c>
      <c r="K4" s="137" t="s">
        <v>76</v>
      </c>
      <c r="L4" s="138" t="s">
        <v>6</v>
      </c>
      <c r="M4" s="139">
        <f>M1</f>
        <v>0.35822500000000002</v>
      </c>
      <c r="N4" s="140">
        <f>M4/M5</f>
        <v>3.1423245614035089</v>
      </c>
      <c r="P4" s="9">
        <v>2</v>
      </c>
      <c r="Q4" s="135">
        <f>R3-R2</f>
        <v>131463.19999999998</v>
      </c>
      <c r="R4" s="135">
        <f>Q4*(1+R1)</f>
        <v>140881.88096399998</v>
      </c>
      <c r="T4" s="9">
        <v>2</v>
      </c>
      <c r="U4" s="135">
        <f>V3-V2</f>
        <v>122811.44758513424</v>
      </c>
      <c r="V4" s="135">
        <f>U4*(1+V1)</f>
        <v>124969.43475850965</v>
      </c>
    </row>
    <row r="5" spans="1:22" ht="15.75" thickBot="1" x14ac:dyDescent="0.3">
      <c r="A5" s="9">
        <v>2000</v>
      </c>
      <c r="B5" s="136">
        <v>3.39E-2</v>
      </c>
      <c r="C5" s="136">
        <v>0.15090000000000001</v>
      </c>
      <c r="D5" s="136">
        <f>(0.25*F5-F5*'TAX reduces gains by'!$Y$5)  +  (0.25*G5-G5*'TAX reduces gains by'!$Y$6)  +  (0.5*H5-H5*'TAX reduces gains by'!$Y$3)</f>
        <v>5.1577867985085971E-2</v>
      </c>
      <c r="E5" s="141">
        <v>1151</v>
      </c>
      <c r="F5" s="136">
        <v>9.2399999999999996E-2</v>
      </c>
      <c r="G5" s="136">
        <v>0.18770000000000001</v>
      </c>
      <c r="H5" s="136">
        <v>0.16170000000000001</v>
      </c>
      <c r="I5" s="9">
        <v>1</v>
      </c>
      <c r="J5" s="177">
        <f>G5-G5*'TAX reduces gains by'!$Y$18</f>
        <v>0.14108872970391595</v>
      </c>
      <c r="K5" s="142"/>
      <c r="L5" s="143" t="s">
        <v>7</v>
      </c>
      <c r="M5" s="144">
        <v>0.114</v>
      </c>
      <c r="N5" s="145"/>
      <c r="P5" s="9">
        <v>3</v>
      </c>
      <c r="Q5" s="135">
        <f>R4-R2</f>
        <v>100881.88096399998</v>
      </c>
      <c r="R5" s="135">
        <f>Q5*(1+R1)</f>
        <v>108109.56332566576</v>
      </c>
      <c r="T5" s="9">
        <v>3</v>
      </c>
      <c r="U5" s="135">
        <f>V4-V2</f>
        <v>84969.434758509655</v>
      </c>
      <c r="V5" s="135">
        <f>U5*(1+V1)</f>
        <v>86462.479209522367</v>
      </c>
    </row>
    <row r="6" spans="1:22" ht="15.75" thickBot="1" x14ac:dyDescent="0.3">
      <c r="A6" s="9">
        <v>2001</v>
      </c>
      <c r="B6" s="136">
        <v>1.55E-2</v>
      </c>
      <c r="C6" s="136">
        <v>8.9999999999999998E-4</v>
      </c>
      <c r="D6" s="136">
        <f>(0.25*F6-F6*'TAX reduces gains by'!$Y$5)  +  (0.25*G6-G6*'TAX reduces gains by'!$Y$6)  +  (0.5*H6-H6*'TAX reduces gains by'!$Y$3)</f>
        <v>2.4749683065076848E-2</v>
      </c>
      <c r="E6" s="141">
        <v>1152</v>
      </c>
      <c r="F6" s="136">
        <v>5.0500000000000003E-2</v>
      </c>
      <c r="G6" s="136">
        <v>-0.19450000000000001</v>
      </c>
      <c r="H6" s="136">
        <v>7.3899999999999993E-2</v>
      </c>
      <c r="I6" s="9">
        <v>2</v>
      </c>
      <c r="J6" s="177">
        <f>G6-G6*'TAX reduces gains by'!$Y$18</f>
        <v>-0.14620009551098379</v>
      </c>
      <c r="P6" s="9">
        <v>4</v>
      </c>
      <c r="Q6" s="135">
        <f>R5-R2</f>
        <v>68109.56332566576</v>
      </c>
      <c r="R6" s="135">
        <f>Q6*(1+R1)</f>
        <v>72989.272990133075</v>
      </c>
      <c r="T6" s="9">
        <v>4</v>
      </c>
      <c r="U6" s="135">
        <f>V5-V2</f>
        <v>46462.479209522367</v>
      </c>
      <c r="V6" s="135">
        <f>U6*(1+V1)</f>
        <v>47278.896865603376</v>
      </c>
    </row>
    <row r="7" spans="1:22" x14ac:dyDescent="0.25">
      <c r="A7" s="9">
        <v>2002</v>
      </c>
      <c r="B7" s="136">
        <v>2.3800000000000002E-2</v>
      </c>
      <c r="C7" s="165">
        <v>-1.49E-2</v>
      </c>
      <c r="D7" s="136">
        <f>C7</f>
        <v>-1.49E-2</v>
      </c>
      <c r="E7" s="141">
        <v>1135</v>
      </c>
      <c r="F7" s="136">
        <v>7.9100000000000004E-2</v>
      </c>
      <c r="G7" s="136">
        <v>-0.2316</v>
      </c>
      <c r="H7" s="136">
        <v>4.6399999999999997E-2</v>
      </c>
      <c r="I7" s="9">
        <v>3</v>
      </c>
      <c r="J7" s="177">
        <f>G7-G7*'TAX reduces gains by'!$Y$18</f>
        <v>-0.17408710601719199</v>
      </c>
      <c r="K7" s="146" t="s">
        <v>139</v>
      </c>
      <c r="L7" s="147" t="s">
        <v>6</v>
      </c>
      <c r="M7" s="148">
        <f>D4*5</f>
        <v>8.7857737035445083E-2</v>
      </c>
      <c r="N7" s="149">
        <f>M7/M8</f>
        <v>0.7706819038196937</v>
      </c>
      <c r="P7" s="9">
        <v>5</v>
      </c>
      <c r="Q7" s="135">
        <f>R6-R2</f>
        <v>32989.272990133075</v>
      </c>
      <c r="R7" s="135">
        <f>Q7*(1+R1)</f>
        <v>35352.789453511155</v>
      </c>
      <c r="T7" s="9">
        <v>5</v>
      </c>
      <c r="U7" s="135">
        <f>V6-V2</f>
        <v>7278.8968656033758</v>
      </c>
      <c r="V7" s="174">
        <f>U7*(1+V1)</f>
        <v>7406.7983469486371</v>
      </c>
    </row>
    <row r="8" spans="1:22" ht="15.75" thickBot="1" x14ac:dyDescent="0.3">
      <c r="A8" s="9">
        <v>2003</v>
      </c>
      <c r="B8" s="136">
        <v>1.8800000000000001E-2</v>
      </c>
      <c r="C8" s="136">
        <v>0.13239999999999999</v>
      </c>
      <c r="D8" s="136">
        <f>(0.25*F8-F8*'TAX reduces gains by'!$Y$5)  +  (0.25*G8-G8*'TAX reduces gains by'!$Y$6)  +  (0.5*H8-H8*'TAX reduces gains by'!$Y$3)</f>
        <v>2.9003900404820676E-2</v>
      </c>
      <c r="E8" s="141">
        <v>1285</v>
      </c>
      <c r="F8" s="136">
        <v>4.4600000000000001E-2</v>
      </c>
      <c r="G8" s="136">
        <v>0.29199999999999998</v>
      </c>
      <c r="H8" s="136">
        <v>9.6600000000000005E-2</v>
      </c>
      <c r="I8" s="9">
        <v>4</v>
      </c>
      <c r="J8" s="177">
        <f>G8-G8*'TAX reduces gains by'!$Y$18</f>
        <v>0.21948806112702962</v>
      </c>
      <c r="K8" s="150"/>
      <c r="L8" s="151" t="s">
        <v>7</v>
      </c>
      <c r="M8" s="152">
        <f>M5</f>
        <v>0.114</v>
      </c>
      <c r="N8" s="153"/>
    </row>
    <row r="9" spans="1:22" x14ac:dyDescent="0.25">
      <c r="A9" s="9">
        <v>2004</v>
      </c>
      <c r="B9" s="136">
        <v>3.2599999999999997E-2</v>
      </c>
      <c r="C9" s="136">
        <v>7.3400000000000007E-2</v>
      </c>
      <c r="D9" s="136">
        <f>(0.25*F9-F9*'TAX reduces gains by'!$Y$5)  +  (0.25*G9-G9*'TAX reduces gains by'!$Y$6)  +  (0.5*H9-H9*'TAX reduces gains by'!$Y$3)</f>
        <v>2.1962150894624555E-2</v>
      </c>
      <c r="E9" s="141">
        <v>1379</v>
      </c>
      <c r="F9" s="136">
        <v>3.2300000000000002E-2</v>
      </c>
      <c r="G9" s="136">
        <v>0.1101</v>
      </c>
      <c r="H9" s="136">
        <v>7.5499999999999998E-2</v>
      </c>
      <c r="I9" s="9">
        <v>5</v>
      </c>
      <c r="J9" s="177">
        <f>G9-G9*'TAX reduces gains by'!$Y$18</f>
        <v>8.2759025787965623E-2</v>
      </c>
    </row>
    <row r="10" spans="1:22" x14ac:dyDescent="0.25">
      <c r="A10" s="9">
        <v>2005</v>
      </c>
      <c r="B10" s="136">
        <v>3.4200000000000001E-2</v>
      </c>
      <c r="C10" s="136">
        <v>3.3599999999999998E-2</v>
      </c>
      <c r="D10" s="136">
        <f>(0.25*F10-F10*'TAX reduces gains by'!$Y$5)  +  (0.25*G10-G10*'TAX reduces gains by'!$Y$6)  +  (0.5*H10-H10*'TAX reduces gains by'!$Y$3)</f>
        <v>1.1603793578821894E-2</v>
      </c>
      <c r="E10" s="141">
        <v>1426</v>
      </c>
      <c r="F10" s="136">
        <v>2.24E-2</v>
      </c>
      <c r="G10" s="136">
        <v>4.2299999999999997E-2</v>
      </c>
      <c r="H10" s="136">
        <v>3.4799999999999998E-2</v>
      </c>
      <c r="I10" s="9">
        <v>6</v>
      </c>
      <c r="J10" s="177">
        <f>G10-G10*'TAX reduces gains by'!$Y$18</f>
        <v>3.1795702005730661E-2</v>
      </c>
      <c r="P10" s="9" t="s">
        <v>10</v>
      </c>
      <c r="T10" s="9" t="s">
        <v>10</v>
      </c>
    </row>
    <row r="11" spans="1:22" x14ac:dyDescent="0.25">
      <c r="A11" s="9">
        <v>2006</v>
      </c>
      <c r="B11" s="136">
        <v>2.5399999999999999E-2</v>
      </c>
      <c r="C11" s="136">
        <v>0.1164</v>
      </c>
      <c r="D11" s="136">
        <f>(0.25*F11-F11*'TAX reduces gains by'!$Y$5)  +  (0.25*G11-G11*'TAX reduces gains by'!$Y$6)  +  (0.5*H11-H11*'TAX reduces gains by'!$Y$3)</f>
        <v>3.2077079812875553E-2</v>
      </c>
      <c r="E11" s="141">
        <v>1592</v>
      </c>
      <c r="F11" s="136">
        <v>4.4299999999999999E-2</v>
      </c>
      <c r="G11" s="136">
        <v>0.1958</v>
      </c>
      <c r="H11" s="136">
        <v>0.1128</v>
      </c>
      <c r="I11" s="9">
        <v>7</v>
      </c>
      <c r="J11" s="177">
        <f>G11-G11*'TAX reduces gains by'!$Y$18</f>
        <v>0.1471772683858644</v>
      </c>
      <c r="P11" s="9" t="s">
        <v>11</v>
      </c>
      <c r="T11" s="9" t="s">
        <v>11</v>
      </c>
    </row>
    <row r="12" spans="1:22" x14ac:dyDescent="0.25">
      <c r="A12" s="9">
        <v>2007</v>
      </c>
      <c r="B12" s="136">
        <v>4.0800000000000003E-2</v>
      </c>
      <c r="C12" s="136">
        <v>5.4100000000000002E-2</v>
      </c>
      <c r="D12" s="136">
        <f>(0.25*F12-F12*'TAX reduces gains by'!$Y$5)  +  (0.25*G12-G12*'TAX reduces gains by'!$Y$6)  +  (0.5*H12-H12*'TAX reduces gains by'!$Y$3)</f>
        <v>1.8348865950502176E-2</v>
      </c>
      <c r="E12" s="141">
        <v>1678</v>
      </c>
      <c r="F12" s="136">
        <v>3.4299999999999997E-2</v>
      </c>
      <c r="G12" s="136">
        <v>7.0000000000000007E-2</v>
      </c>
      <c r="H12" s="136">
        <v>5.6099999999999997E-2</v>
      </c>
      <c r="I12" s="9">
        <v>8</v>
      </c>
      <c r="J12" s="177">
        <f>G12-G12*'TAX reduces gains by'!$Y$18</f>
        <v>5.2617000955109849E-2</v>
      </c>
    </row>
    <row r="13" spans="1:22" x14ac:dyDescent="0.25">
      <c r="A13" s="9">
        <v>2008</v>
      </c>
      <c r="B13" s="136">
        <v>8.9999999999999998E-4</v>
      </c>
      <c r="C13" s="136">
        <v>-0.1135</v>
      </c>
      <c r="D13" s="136">
        <f>C13</f>
        <v>-0.1135</v>
      </c>
      <c r="E13" s="141">
        <v>1487</v>
      </c>
      <c r="F13" s="136">
        <v>-1.4E-3</v>
      </c>
      <c r="G13" s="136">
        <v>-0.25569999999999998</v>
      </c>
      <c r="H13" s="136">
        <v>-9.8400000000000001E-2</v>
      </c>
      <c r="I13" s="9">
        <v>9</v>
      </c>
      <c r="J13" s="177">
        <f>G13-G13*'TAX reduces gains by'!$Y$18</f>
        <v>-0.19220238777459409</v>
      </c>
    </row>
    <row r="14" spans="1:22" x14ac:dyDescent="0.25">
      <c r="A14" s="9">
        <v>2009</v>
      </c>
      <c r="B14" s="136">
        <v>2.7199999999999998E-2</v>
      </c>
      <c r="C14" s="136">
        <v>0.16</v>
      </c>
      <c r="D14" s="136">
        <f>(0.25*F14-F14*'TAX reduces gains by'!$Y$5)  +  (0.25*G14-G14*'TAX reduces gains by'!$Y$6)  +  (0.5*H14-H14*'TAX reduces gains by'!$Y$3)</f>
        <v>5.327282322549777E-2</v>
      </c>
      <c r="E14" s="141">
        <v>1725</v>
      </c>
      <c r="F14" s="136">
        <v>0.1022</v>
      </c>
      <c r="G14" s="136">
        <v>0.21740000000000001</v>
      </c>
      <c r="H14" s="136">
        <v>0.16020000000000001</v>
      </c>
      <c r="I14" s="9">
        <v>10</v>
      </c>
      <c r="J14" s="177">
        <f>G14-G14*'TAX reduces gains by'!$Y$18</f>
        <v>0.16341337153772686</v>
      </c>
    </row>
    <row r="15" spans="1:22" x14ac:dyDescent="0.25">
      <c r="A15" s="9">
        <v>2010</v>
      </c>
      <c r="B15" s="136">
        <v>1.4999999999999999E-2</v>
      </c>
      <c r="C15" s="136">
        <v>8.7099999999999997E-2</v>
      </c>
      <c r="D15" s="136">
        <f>(0.25*F15-F15*'TAX reduces gains by'!$Y$5)  +  (0.25*G15-G15*'TAX reduces gains by'!$Y$6)  +  (0.5*H15-H15*'TAX reduces gains by'!$Y$3)</f>
        <v>2.6082621166663787E-2</v>
      </c>
      <c r="E15" s="141">
        <v>1876</v>
      </c>
      <c r="F15" s="136">
        <v>2.1299999999999999E-2</v>
      </c>
      <c r="G15" s="136">
        <v>0.1142</v>
      </c>
      <c r="H15" s="136">
        <v>0.1065</v>
      </c>
      <c r="I15" s="9">
        <v>11</v>
      </c>
      <c r="J15" s="177">
        <f>G15-G15*'TAX reduces gains by'!$Y$18</f>
        <v>8.584087870105063E-2</v>
      </c>
    </row>
    <row r="16" spans="1:22" x14ac:dyDescent="0.25">
      <c r="A16" s="9">
        <v>2011</v>
      </c>
      <c r="B16" s="136">
        <v>2.9600000000000001E-2</v>
      </c>
      <c r="C16" s="136">
        <v>9.5799999999999996E-2</v>
      </c>
      <c r="D16" s="136">
        <f>(0.25*F16-F16*'TAX reduces gains by'!$Y$5)  +  (0.25*G16-G16*'TAX reduces gains by'!$Y$6)  +  (0.5*H16-H16*'TAX reduces gains by'!$Y$3)</f>
        <v>3.8881300829754738E-2</v>
      </c>
      <c r="E16" s="141">
        <v>2055</v>
      </c>
      <c r="F16" s="136">
        <v>9.6199999999999994E-2</v>
      </c>
      <c r="G16" s="136">
        <v>9.4299999999999995E-2</v>
      </c>
      <c r="H16" s="136">
        <v>9.6299999999999997E-2</v>
      </c>
      <c r="I16" s="9">
        <v>12</v>
      </c>
      <c r="J16" s="177">
        <f>G16-G16*'TAX reduces gains by'!$Y$18</f>
        <v>7.0882617000955106E-2</v>
      </c>
    </row>
    <row r="17" spans="1:10" x14ac:dyDescent="0.25">
      <c r="A17" s="9">
        <v>2012</v>
      </c>
      <c r="B17" s="136">
        <v>1.7399999999999999E-2</v>
      </c>
      <c r="C17" s="136">
        <v>9.0499999999999997E-2</v>
      </c>
      <c r="D17" s="136">
        <f>(0.25*F17-F17*'TAX reduces gains by'!$Y$5)  +  (0.25*G17-G17*'TAX reduces gains by'!$Y$6)  +  (0.5*H17-H17*'TAX reduces gains by'!$Y$3)</f>
        <v>3.197046051850283E-2</v>
      </c>
      <c r="E17" s="141">
        <v>2241</v>
      </c>
      <c r="F17" s="136">
        <v>5.7000000000000002E-2</v>
      </c>
      <c r="G17" s="136">
        <v>0.10390000000000001</v>
      </c>
      <c r="H17" s="136">
        <v>0.10059999999999999</v>
      </c>
      <c r="I17" s="9">
        <v>13</v>
      </c>
      <c r="J17" s="177">
        <f>G17-G17*'TAX reduces gains by'!$Y$18</f>
        <v>7.8098662846227324E-2</v>
      </c>
    </row>
    <row r="18" spans="1:10" x14ac:dyDescent="0.25">
      <c r="A18" s="9">
        <v>2013</v>
      </c>
      <c r="B18" s="136">
        <v>1.4999999999999999E-2</v>
      </c>
      <c r="C18" s="136">
        <v>0.12089999999999999</v>
      </c>
      <c r="D18" s="136">
        <f>(0.25*F18-F18*'TAX reduces gains by'!$Y$5)  +  (0.25*G18-G18*'TAX reduces gains by'!$Y$6)  +  (0.5*H18-H18*'TAX reduces gains by'!$Y$3)</f>
        <v>1.6106961104562587E-2</v>
      </c>
      <c r="E18" s="141">
        <v>2512</v>
      </c>
      <c r="F18" s="136">
        <v>-1.5599999999999999E-2</v>
      </c>
      <c r="G18" s="136">
        <v>0.31530000000000002</v>
      </c>
      <c r="H18" s="136">
        <v>9.1899999999999996E-2</v>
      </c>
      <c r="I18" s="9">
        <v>14</v>
      </c>
      <c r="J18" s="177">
        <f>G18-G18*'TAX reduces gains by'!$Y$18</f>
        <v>0.23700200573065905</v>
      </c>
    </row>
    <row r="19" spans="1:10" x14ac:dyDescent="0.25">
      <c r="A19" s="9">
        <v>2014</v>
      </c>
      <c r="B19" s="136">
        <v>7.6E-3</v>
      </c>
      <c r="C19" s="136">
        <v>8.8099999999999998E-2</v>
      </c>
      <c r="D19" s="136">
        <f>(0.25*F19-F19*'TAX reduces gains by'!$Y$5)  +  (0.25*G19-G19*'TAX reduces gains by'!$Y$6)  +  (0.5*H19-H19*'TAX reduces gains by'!$Y$3)</f>
        <v>3.1033561567959878E-2</v>
      </c>
      <c r="E19" s="141">
        <v>2733</v>
      </c>
      <c r="F19" s="136">
        <v>7.2499999999999995E-2</v>
      </c>
      <c r="G19" s="136">
        <v>0.11849999999999999</v>
      </c>
      <c r="H19" s="136">
        <v>8.0699999999999994E-2</v>
      </c>
      <c r="I19" s="9">
        <v>15</v>
      </c>
      <c r="J19" s="177">
        <f>G19-G19*'TAX reduces gains by'!$Y$18</f>
        <v>8.9073065902578796E-2</v>
      </c>
    </row>
    <row r="20" spans="1:10" x14ac:dyDescent="0.25">
      <c r="A20" s="9">
        <v>2015</v>
      </c>
      <c r="B20" s="136">
        <v>7.3000000000000001E-3</v>
      </c>
      <c r="C20" s="136">
        <v>2.01E-2</v>
      </c>
      <c r="D20" s="136">
        <f>(0.25*F20-F20*'TAX reduces gains by'!$Y$5)  +  (0.25*G20-G20*'TAX reduces gains by'!$Y$6)  +  (0.5*H20-H20*'TAX reduces gains by'!$Y$3)</f>
        <v>8.3378444840997035E-3</v>
      </c>
      <c r="E20" s="141">
        <v>2788</v>
      </c>
      <c r="F20" s="136">
        <v>2.86E-2</v>
      </c>
      <c r="G20" s="136">
        <v>2.6200000000000001E-2</v>
      </c>
      <c r="H20" s="136">
        <v>1.2800000000000001E-2</v>
      </c>
      <c r="I20" s="9">
        <v>16</v>
      </c>
      <c r="J20" s="177">
        <f>G20-G20*'TAX reduces gains by'!$Y$18</f>
        <v>1.96937917860554E-2</v>
      </c>
    </row>
    <row r="21" spans="1:10" x14ac:dyDescent="0.25">
      <c r="A21" s="9">
        <v>2016</v>
      </c>
      <c r="B21" s="136">
        <v>2.07E-2</v>
      </c>
      <c r="C21" s="136">
        <v>5.9400000000000001E-2</v>
      </c>
      <c r="D21" s="136">
        <f>(0.25*F21-F21*'TAX reduces gains by'!$Y$5)  +  (0.25*G21-G21*'TAX reduces gains by'!$Y$6)  +  (0.5*H21-H21*'TAX reduces gains by'!$Y$3)</f>
        <v>1.6712777241094219E-2</v>
      </c>
      <c r="E21" s="141">
        <v>2954</v>
      </c>
      <c r="F21" s="136">
        <v>8.0000000000000004E-4</v>
      </c>
      <c r="G21" s="136">
        <v>7.5300000000000006E-2</v>
      </c>
      <c r="H21" s="136">
        <v>8.0799999999999997E-2</v>
      </c>
      <c r="I21" s="9">
        <v>17</v>
      </c>
      <c r="J21" s="177">
        <f>G21-G21*'TAX reduces gains by'!$Y$18</f>
        <v>5.6600859598853873E-2</v>
      </c>
    </row>
    <row r="22" spans="1:10" x14ac:dyDescent="0.25">
      <c r="A22" s="9">
        <v>2017</v>
      </c>
      <c r="B22" s="136">
        <v>2.1100000000000001E-2</v>
      </c>
      <c r="C22" s="136">
        <v>0.11070000000000001</v>
      </c>
      <c r="D22" s="136">
        <f>(0.25*F22-F22*'TAX reduces gains by'!$Y$5)  +  (0.25*G22-G22*'TAX reduces gains by'!$Y$6)  +  (0.5*H22-H22*'TAX reduces gains by'!$Y$3)</f>
        <v>3.0076126573389358E-2</v>
      </c>
      <c r="E22" s="141">
        <v>3281</v>
      </c>
      <c r="F22" s="136">
        <v>4.53E-2</v>
      </c>
      <c r="G22" s="136">
        <v>0.1933</v>
      </c>
      <c r="H22" s="136">
        <v>0.10199999999999999</v>
      </c>
      <c r="I22" s="9">
        <v>18</v>
      </c>
      <c r="J22" s="177">
        <f>G22-G22*'TAX reduces gains by'!$Y$18</f>
        <v>0.14529808978032474</v>
      </c>
    </row>
    <row r="23" spans="1:10" x14ac:dyDescent="0.25">
      <c r="A23" s="9">
        <v>2018</v>
      </c>
      <c r="B23" s="136">
        <v>1.9099999999999999E-2</v>
      </c>
      <c r="C23" s="136">
        <v>-9.2999999999999992E-3</v>
      </c>
      <c r="D23" s="165">
        <f>C23</f>
        <v>-9.2999999999999992E-3</v>
      </c>
      <c r="E23" s="141">
        <v>3250</v>
      </c>
      <c r="F23" s="136">
        <v>1.2500000000000001E-2</v>
      </c>
      <c r="G23" s="136">
        <v>1.8E-3</v>
      </c>
      <c r="H23" s="136">
        <v>-2.5700000000000001E-2</v>
      </c>
      <c r="I23" s="9">
        <v>19</v>
      </c>
      <c r="J23" s="177">
        <f>G23-G23*'TAX reduces gains by'!$Y$18</f>
        <v>1.3530085959885386E-3</v>
      </c>
    </row>
    <row r="24" spans="1:10" x14ac:dyDescent="0.25">
      <c r="A24" s="9">
        <v>2019</v>
      </c>
      <c r="B24" s="136">
        <v>2.29E-2</v>
      </c>
      <c r="C24" s="136">
        <v>0.17630000000000001</v>
      </c>
      <c r="D24" s="136">
        <f>(0.25*F24-F24*'TAX reduces gains by'!$Y$5)  +  (0.25*G24-G24*'TAX reduces gains by'!$Y$6)  +  (0.5*H24-H24*'TAX reduces gains by'!$Y$3)</f>
        <v>4.7333129738447791E-2</v>
      </c>
      <c r="E24" s="141">
        <v>3823</v>
      </c>
      <c r="F24" s="136">
        <v>6.7799999999999999E-2</v>
      </c>
      <c r="G24" s="136">
        <v>0.3095</v>
      </c>
      <c r="H24" s="136">
        <v>0.16389999999999999</v>
      </c>
      <c r="I24" s="9">
        <v>20</v>
      </c>
      <c r="J24" s="177">
        <f>G24-G24*'TAX reduces gains by'!$Y$18</f>
        <v>0.2326423113658071</v>
      </c>
    </row>
    <row r="27" spans="1:10" x14ac:dyDescent="0.25">
      <c r="A27" s="9" t="s">
        <v>0</v>
      </c>
      <c r="B27" s="9" t="s">
        <v>18</v>
      </c>
      <c r="C27" s="9" t="s">
        <v>2</v>
      </c>
      <c r="E27" s="9" t="s">
        <v>3</v>
      </c>
      <c r="F27" s="9" t="s">
        <v>35</v>
      </c>
      <c r="G27" s="9" t="s">
        <v>56</v>
      </c>
      <c r="H27" s="9" t="s">
        <v>42</v>
      </c>
    </row>
    <row r="28" spans="1:10" x14ac:dyDescent="0.25">
      <c r="A28" s="9" t="s">
        <v>20</v>
      </c>
    </row>
    <row r="30" spans="1:10" x14ac:dyDescent="0.25">
      <c r="A30" s="9">
        <v>2008</v>
      </c>
      <c r="B30" s="9">
        <v>1</v>
      </c>
      <c r="C30" s="136">
        <v>-1.37E-2</v>
      </c>
      <c r="D30" s="136"/>
      <c r="E30" s="141">
        <v>193928</v>
      </c>
      <c r="F30" s="136">
        <v>1.6299999999999999E-2</v>
      </c>
      <c r="G30" s="136">
        <v>-5.4600000000000003E-2</v>
      </c>
      <c r="H30" s="136">
        <v>-8.2000000000000007E-3</v>
      </c>
    </row>
    <row r="31" spans="1:10" x14ac:dyDescent="0.25">
      <c r="A31" s="9">
        <v>2008</v>
      </c>
      <c r="B31" s="9">
        <v>2</v>
      </c>
      <c r="C31" s="136">
        <v>-2.0299999999999999E-2</v>
      </c>
      <c r="D31" s="136"/>
      <c r="E31" s="141">
        <v>186650</v>
      </c>
      <c r="F31" s="136">
        <v>-4.0800000000000003E-2</v>
      </c>
      <c r="G31" s="136">
        <v>-1.3899999999999999E-2</v>
      </c>
      <c r="H31" s="136">
        <v>-1.29E-2</v>
      </c>
    </row>
    <row r="32" spans="1:10" x14ac:dyDescent="0.25">
      <c r="A32" s="9">
        <v>2008</v>
      </c>
      <c r="B32" s="9">
        <v>3</v>
      </c>
      <c r="C32" s="136">
        <v>1.06E-2</v>
      </c>
      <c r="D32" s="136"/>
      <c r="E32" s="141">
        <v>185287</v>
      </c>
      <c r="F32" s="136">
        <v>2.6200000000000001E-2</v>
      </c>
      <c r="G32" s="136">
        <v>8.5000000000000006E-3</v>
      </c>
      <c r="H32" s="136">
        <v>3.8E-3</v>
      </c>
    </row>
    <row r="33" spans="1:8" x14ac:dyDescent="0.25">
      <c r="A33" s="9">
        <v>2008</v>
      </c>
      <c r="B33" s="9">
        <v>4</v>
      </c>
      <c r="C33" s="136">
        <v>1.67E-2</v>
      </c>
      <c r="D33" s="136"/>
      <c r="E33" s="141">
        <v>185055</v>
      </c>
      <c r="F33" s="136">
        <v>8.6999999999999994E-3</v>
      </c>
      <c r="G33" s="136">
        <v>3.5700000000000003E-2</v>
      </c>
      <c r="H33" s="136">
        <v>1.18E-2</v>
      </c>
    </row>
    <row r="34" spans="1:8" x14ac:dyDescent="0.25">
      <c r="A34" s="9">
        <v>2008</v>
      </c>
      <c r="B34" s="9">
        <v>5</v>
      </c>
      <c r="C34" s="136">
        <v>3.3E-3</v>
      </c>
      <c r="D34" s="136"/>
      <c r="E34" s="141">
        <v>182329</v>
      </c>
      <c r="F34" s="136">
        <v>5.7000000000000002E-3</v>
      </c>
      <c r="G34" s="136">
        <v>1.89E-2</v>
      </c>
      <c r="H34" s="136">
        <v>-5.5999999999999999E-3</v>
      </c>
    </row>
    <row r="35" spans="1:8" x14ac:dyDescent="0.25">
      <c r="A35" s="9">
        <v>2008</v>
      </c>
      <c r="B35" s="9">
        <v>6</v>
      </c>
      <c r="C35" s="136">
        <v>-3.56E-2</v>
      </c>
      <c r="D35" s="136"/>
      <c r="E35" s="141">
        <v>172513</v>
      </c>
      <c r="F35" s="136">
        <v>-1.03E-2</v>
      </c>
      <c r="G35" s="136">
        <v>-6.4299999999999996E-2</v>
      </c>
      <c r="H35" s="136">
        <v>-3.4099999999999998E-2</v>
      </c>
    </row>
    <row r="36" spans="1:8" x14ac:dyDescent="0.25">
      <c r="A36" s="9">
        <v>2008</v>
      </c>
      <c r="B36" s="9">
        <v>7</v>
      </c>
      <c r="C36" s="136">
        <v>3.3E-3</v>
      </c>
      <c r="D36" s="136"/>
      <c r="E36" s="141">
        <v>169744</v>
      </c>
      <c r="F36" s="136">
        <v>5.7000000000000002E-3</v>
      </c>
      <c r="G36" s="136">
        <v>4.3E-3</v>
      </c>
      <c r="H36" s="136">
        <v>1.5E-3</v>
      </c>
    </row>
    <row r="37" spans="1:8" x14ac:dyDescent="0.25">
      <c r="A37" s="9">
        <v>2008</v>
      </c>
      <c r="B37" s="9">
        <v>8</v>
      </c>
      <c r="C37" s="136">
        <v>1.23E-2</v>
      </c>
      <c r="D37" s="136"/>
      <c r="E37" s="141">
        <v>168503</v>
      </c>
      <c r="F37" s="136">
        <v>1.18E-2</v>
      </c>
      <c r="G37" s="136">
        <v>2.2100000000000002E-2</v>
      </c>
      <c r="H37" s="136">
        <v>7.7999999999999996E-3</v>
      </c>
    </row>
    <row r="38" spans="1:8" x14ac:dyDescent="0.25">
      <c r="A38" s="9">
        <v>2008</v>
      </c>
      <c r="B38" s="9">
        <v>9</v>
      </c>
      <c r="C38" s="136">
        <v>-4.1500000000000002E-2</v>
      </c>
      <c r="D38" s="136"/>
      <c r="E38" s="141">
        <v>158173</v>
      </c>
      <c r="F38" s="136">
        <v>-3.9199999999999999E-2</v>
      </c>
      <c r="G38" s="136">
        <v>-5.7799999999999997E-2</v>
      </c>
      <c r="H38" s="136">
        <v>-3.4700000000000002E-2</v>
      </c>
    </row>
    <row r="39" spans="1:8" x14ac:dyDescent="0.25">
      <c r="A39" s="9">
        <v>2008</v>
      </c>
      <c r="B39" s="9">
        <v>10</v>
      </c>
      <c r="C39" s="136">
        <v>-7.0999999999999994E-2</v>
      </c>
      <c r="D39" s="136"/>
      <c r="E39" s="141">
        <v>143614</v>
      </c>
      <c r="F39" s="136">
        <v>1.1999999999999999E-3</v>
      </c>
      <c r="G39" s="136">
        <v>-0.1479</v>
      </c>
      <c r="H39" s="136">
        <v>-7.1900000000000006E-2</v>
      </c>
    </row>
    <row r="40" spans="1:8" x14ac:dyDescent="0.25">
      <c r="A40" s="9">
        <v>2008</v>
      </c>
      <c r="B40" s="9">
        <v>11</v>
      </c>
      <c r="C40" s="136">
        <v>-5.7000000000000002E-3</v>
      </c>
      <c r="D40" s="136"/>
      <c r="E40" s="141">
        <v>139465</v>
      </c>
      <c r="F40" s="136">
        <v>1.8E-3</v>
      </c>
      <c r="G40" s="136">
        <v>-3.56E-2</v>
      </c>
      <c r="H40" s="136">
        <v>3.3E-3</v>
      </c>
    </row>
    <row r="41" spans="1:8" x14ac:dyDescent="0.25">
      <c r="A41" s="9">
        <v>2008</v>
      </c>
      <c r="B41" s="9">
        <v>12</v>
      </c>
      <c r="C41" s="136">
        <v>2.63E-2</v>
      </c>
      <c r="D41" s="136"/>
      <c r="E41" s="141">
        <v>139795</v>
      </c>
      <c r="F41" s="136">
        <v>1.3899999999999999E-2</v>
      </c>
      <c r="G41" s="136">
        <v>8.8000000000000005E-3</v>
      </c>
      <c r="H41" s="136">
        <v>4.07E-2</v>
      </c>
    </row>
    <row r="42" spans="1:8" x14ac:dyDescent="0.25">
      <c r="A42" s="9">
        <v>2009</v>
      </c>
      <c r="B42" s="9">
        <v>1</v>
      </c>
      <c r="C42" s="136">
        <v>-2.87E-2</v>
      </c>
      <c r="D42" s="136"/>
      <c r="E42" s="141">
        <v>132455</v>
      </c>
      <c r="F42" s="136">
        <v>3.73E-2</v>
      </c>
      <c r="G42" s="136">
        <v>-5.96E-2</v>
      </c>
      <c r="H42" s="136">
        <v>-4.6199999999999998E-2</v>
      </c>
    </row>
    <row r="43" spans="1:8" x14ac:dyDescent="0.25">
      <c r="A43" s="9">
        <v>2009</v>
      </c>
      <c r="B43" s="9">
        <v>2</v>
      </c>
      <c r="C43" s="136">
        <v>-4.7899999999999998E-2</v>
      </c>
      <c r="D43" s="136"/>
      <c r="E43" s="141">
        <v>122783</v>
      </c>
      <c r="F43" s="136">
        <v>-4.5999999999999999E-3</v>
      </c>
      <c r="G43" s="136">
        <v>-9.2100000000000001E-2</v>
      </c>
      <c r="H43" s="136">
        <v>-4.9599999999999998E-2</v>
      </c>
    </row>
    <row r="44" spans="1:8" x14ac:dyDescent="0.25">
      <c r="A44" s="9">
        <v>2009</v>
      </c>
      <c r="B44" s="9">
        <v>3</v>
      </c>
      <c r="C44" s="136">
        <v>3.09E-2</v>
      </c>
      <c r="D44" s="136"/>
      <c r="E44" s="141">
        <v>123245</v>
      </c>
      <c r="F44" s="136">
        <v>-2E-3</v>
      </c>
      <c r="G44" s="136">
        <v>7.3999999999999996E-2</v>
      </c>
      <c r="H44" s="136">
        <v>2.9399999999999999E-2</v>
      </c>
    </row>
    <row r="45" spans="1:8" x14ac:dyDescent="0.25">
      <c r="A45" s="9">
        <v>2009</v>
      </c>
      <c r="B45" s="9">
        <v>4</v>
      </c>
      <c r="C45" s="136">
        <v>3.61E-2</v>
      </c>
      <c r="D45" s="136"/>
      <c r="E45" s="141">
        <v>124366</v>
      </c>
      <c r="F45" s="136">
        <v>1.7899999999999999E-2</v>
      </c>
      <c r="G45" s="136">
        <v>5.8099999999999999E-2</v>
      </c>
      <c r="H45" s="136">
        <v>3.5400000000000001E-2</v>
      </c>
    </row>
    <row r="46" spans="1:8" x14ac:dyDescent="0.25">
      <c r="A46" s="9">
        <v>2009</v>
      </c>
      <c r="B46" s="9">
        <v>5</v>
      </c>
      <c r="C46" s="136">
        <v>3.6999999999999998E-2</v>
      </c>
      <c r="D46" s="136"/>
      <c r="E46" s="141">
        <v>125636</v>
      </c>
      <c r="F46" s="136">
        <v>8.6E-3</v>
      </c>
      <c r="G46" s="136">
        <v>5.3999999999999999E-2</v>
      </c>
      <c r="H46" s="136">
        <v>4.3900000000000002E-2</v>
      </c>
    </row>
    <row r="47" spans="1:8" x14ac:dyDescent="0.25">
      <c r="A47" s="9">
        <v>2009</v>
      </c>
      <c r="B47" s="9">
        <v>6</v>
      </c>
      <c r="C47" s="136">
        <v>1.5E-3</v>
      </c>
      <c r="D47" s="136"/>
      <c r="E47" s="141">
        <v>122491</v>
      </c>
      <c r="F47" s="136">
        <v>-9.7000000000000003E-3</v>
      </c>
      <c r="G47" s="136">
        <v>-8.6999999999999994E-3</v>
      </c>
      <c r="H47" s="136">
        <v>1.2500000000000001E-2</v>
      </c>
    </row>
    <row r="48" spans="1:8" x14ac:dyDescent="0.25">
      <c r="A48" s="9">
        <v>2009</v>
      </c>
      <c r="B48" s="9">
        <v>7</v>
      </c>
      <c r="C48" s="136">
        <v>4.53E-2</v>
      </c>
      <c r="D48" s="136"/>
      <c r="E48" s="141">
        <v>124706</v>
      </c>
      <c r="F48" s="136">
        <v>1.7899999999999999E-2</v>
      </c>
      <c r="G48" s="136">
        <v>5.0500000000000003E-2</v>
      </c>
      <c r="H48" s="136">
        <v>5.6800000000000003E-2</v>
      </c>
    </row>
    <row r="49" spans="1:8" x14ac:dyDescent="0.25">
      <c r="A49" s="9">
        <v>2009</v>
      </c>
      <c r="B49" s="9">
        <v>8</v>
      </c>
      <c r="C49" s="136">
        <v>2.1999999999999999E-2</v>
      </c>
      <c r="D49" s="136"/>
      <c r="E49" s="141">
        <v>124118</v>
      </c>
      <c r="F49" s="136">
        <v>1.23E-2</v>
      </c>
      <c r="G49" s="136">
        <v>2.92E-2</v>
      </c>
      <c r="H49" s="136">
        <v>2.3199999999999998E-2</v>
      </c>
    </row>
    <row r="50" spans="1:8" x14ac:dyDescent="0.25">
      <c r="A50" s="9">
        <v>2009</v>
      </c>
      <c r="B50" s="9">
        <v>9</v>
      </c>
      <c r="C50" s="136">
        <v>2.53E-2</v>
      </c>
      <c r="D50" s="136"/>
      <c r="E50" s="141">
        <v>123931</v>
      </c>
      <c r="F50" s="136">
        <v>0.03</v>
      </c>
      <c r="G50" s="136">
        <v>3.4200000000000001E-2</v>
      </c>
      <c r="H50" s="136">
        <v>1.8700000000000001E-2</v>
      </c>
    </row>
    <row r="51" spans="1:8" x14ac:dyDescent="0.25">
      <c r="A51" s="9">
        <v>2009</v>
      </c>
      <c r="B51" s="9">
        <v>10</v>
      </c>
      <c r="C51" s="136">
        <v>-5.7999999999999996E-3</v>
      </c>
      <c r="D51" s="136"/>
      <c r="E51" s="141">
        <v>119876</v>
      </c>
      <c r="F51" s="136">
        <v>-2.1700000000000001E-2</v>
      </c>
      <c r="G51" s="136">
        <v>-8.0000000000000004E-4</v>
      </c>
      <c r="H51" s="136">
        <v>-5.0000000000000001E-4</v>
      </c>
    </row>
    <row r="52" spans="1:8" x14ac:dyDescent="0.25">
      <c r="A52" s="9">
        <v>2009</v>
      </c>
      <c r="B52" s="9">
        <v>11</v>
      </c>
      <c r="C52" s="136">
        <v>3.56E-2</v>
      </c>
      <c r="D52" s="136"/>
      <c r="E52" s="141">
        <v>120815</v>
      </c>
      <c r="F52" s="136">
        <v>1.1299999999999999E-2</v>
      </c>
      <c r="G52" s="136">
        <v>6.6199999999999995E-2</v>
      </c>
      <c r="H52" s="136">
        <v>3.2000000000000001E-2</v>
      </c>
    </row>
    <row r="53" spans="1:8" x14ac:dyDescent="0.25">
      <c r="A53" s="9">
        <v>2009</v>
      </c>
      <c r="B53" s="9">
        <v>12</v>
      </c>
      <c r="C53" s="136">
        <v>2.5000000000000001E-3</v>
      </c>
      <c r="D53" s="136"/>
      <c r="E53" s="141">
        <v>117784</v>
      </c>
      <c r="F53" s="136">
        <v>1.6999999999999999E-3</v>
      </c>
      <c r="G53" s="136">
        <v>8.2000000000000007E-3</v>
      </c>
      <c r="H53" s="136">
        <v>-1E-4</v>
      </c>
    </row>
    <row r="54" spans="1:8" x14ac:dyDescent="0.25">
      <c r="A54" s="9">
        <v>2010</v>
      </c>
      <c r="B54" s="9">
        <v>1</v>
      </c>
      <c r="C54" s="136">
        <v>-6.7999999999999996E-3</v>
      </c>
      <c r="D54" s="136"/>
      <c r="E54" s="141">
        <v>113655</v>
      </c>
      <c r="F54" s="136">
        <v>5.4000000000000003E-3</v>
      </c>
      <c r="G54" s="136">
        <v>-2.6599999999999999E-2</v>
      </c>
      <c r="H54" s="136">
        <v>-2.8999999999999998E-3</v>
      </c>
    </row>
    <row r="55" spans="1:8" x14ac:dyDescent="0.25">
      <c r="A55" s="9">
        <v>2010</v>
      </c>
      <c r="B55" s="9">
        <v>2</v>
      </c>
      <c r="C55" s="136">
        <v>1.17E-2</v>
      </c>
      <c r="D55" s="136"/>
      <c r="E55" s="141">
        <v>111647</v>
      </c>
      <c r="F55" s="136">
        <v>9.4999999999999998E-3</v>
      </c>
      <c r="G55" s="136">
        <v>1.5599999999999999E-2</v>
      </c>
      <c r="H55" s="136">
        <v>1.0800000000000001E-2</v>
      </c>
    </row>
    <row r="56" spans="1:8" x14ac:dyDescent="0.25">
      <c r="A56" s="9">
        <v>2010</v>
      </c>
      <c r="B56" s="9">
        <v>3</v>
      </c>
      <c r="C56" s="136">
        <v>1.89E-2</v>
      </c>
      <c r="D56" s="136"/>
      <c r="E56" s="141">
        <v>110427</v>
      </c>
      <c r="F56" s="136">
        <v>-7.1999999999999998E-3</v>
      </c>
      <c r="G56" s="136">
        <v>4.3799999999999999E-2</v>
      </c>
      <c r="H56" s="136">
        <v>1.9900000000000001E-2</v>
      </c>
    </row>
    <row r="57" spans="1:8" x14ac:dyDescent="0.25">
      <c r="A57" s="9">
        <v>2010</v>
      </c>
      <c r="B57" s="9">
        <v>4</v>
      </c>
      <c r="C57" s="136">
        <v>1.4200000000000001E-2</v>
      </c>
      <c r="D57" s="136"/>
      <c r="E57" s="141">
        <v>108658</v>
      </c>
      <c r="F57" s="136">
        <v>1.0500000000000001E-2</v>
      </c>
      <c r="G57" s="136">
        <v>1.6199999999999999E-2</v>
      </c>
      <c r="H57" s="136">
        <v>1.49E-2</v>
      </c>
    </row>
    <row r="58" spans="1:8" x14ac:dyDescent="0.25">
      <c r="A58" s="9">
        <v>2010</v>
      </c>
      <c r="B58" s="9">
        <v>5</v>
      </c>
      <c r="C58" s="136">
        <v>-3.09E-2</v>
      </c>
      <c r="D58" s="136"/>
      <c r="E58" s="141">
        <v>101963</v>
      </c>
      <c r="F58" s="136">
        <v>7.6E-3</v>
      </c>
      <c r="G58" s="136">
        <v>-7.5999999999999998E-2</v>
      </c>
      <c r="H58" s="136">
        <v>-2.7099999999999999E-2</v>
      </c>
    </row>
    <row r="59" spans="1:8" x14ac:dyDescent="0.25">
      <c r="A59" s="9">
        <v>2010</v>
      </c>
      <c r="B59" s="9">
        <v>6</v>
      </c>
      <c r="C59" s="136">
        <v>-8.5000000000000006E-3</v>
      </c>
      <c r="D59" s="136"/>
      <c r="E59" s="141">
        <v>97763</v>
      </c>
      <c r="F59" s="136">
        <v>1E-4</v>
      </c>
      <c r="G59" s="136">
        <v>-3.9399999999999998E-2</v>
      </c>
      <c r="H59" s="136">
        <v>1.9E-3</v>
      </c>
    </row>
    <row r="60" spans="1:8" x14ac:dyDescent="0.25">
      <c r="A60" s="9">
        <v>2010</v>
      </c>
      <c r="B60" s="9">
        <v>7</v>
      </c>
      <c r="C60" s="136">
        <v>3.5499999999999997E-2</v>
      </c>
      <c r="D60" s="136"/>
      <c r="E60" s="141">
        <v>97897</v>
      </c>
      <c r="F60" s="136">
        <v>1.34E-2</v>
      </c>
      <c r="G60" s="136">
        <v>6.0999999999999999E-2</v>
      </c>
      <c r="H60" s="136">
        <v>3.49E-2</v>
      </c>
    </row>
    <row r="61" spans="1:8" x14ac:dyDescent="0.25">
      <c r="A61" s="9">
        <v>2010</v>
      </c>
      <c r="B61" s="9">
        <v>8</v>
      </c>
      <c r="C61" s="136">
        <v>2.5000000000000001E-3</v>
      </c>
      <c r="D61" s="136"/>
      <c r="E61" s="141">
        <v>94804</v>
      </c>
      <c r="F61" s="136">
        <v>2.3400000000000001E-2</v>
      </c>
      <c r="G61" s="136">
        <v>-3.2599999999999997E-2</v>
      </c>
      <c r="H61" s="136">
        <v>8.6E-3</v>
      </c>
    </row>
    <row r="62" spans="1:8" x14ac:dyDescent="0.25">
      <c r="A62" s="9">
        <v>2010</v>
      </c>
      <c r="B62" s="9">
        <v>9</v>
      </c>
      <c r="C62" s="136">
        <v>3.1099999999999999E-2</v>
      </c>
      <c r="D62" s="136"/>
      <c r="E62" s="141">
        <v>94419</v>
      </c>
      <c r="F62" s="136">
        <v>-4.3E-3</v>
      </c>
      <c r="G62" s="136">
        <v>7.9500000000000001E-2</v>
      </c>
      <c r="H62" s="136">
        <v>2.7E-2</v>
      </c>
    </row>
    <row r="63" spans="1:8" x14ac:dyDescent="0.25">
      <c r="A63" s="9">
        <v>2010</v>
      </c>
      <c r="B63" s="9">
        <v>10</v>
      </c>
      <c r="C63" s="136">
        <v>1.03E-2</v>
      </c>
      <c r="D63" s="136"/>
      <c r="E63" s="141">
        <v>92055</v>
      </c>
      <c r="F63" s="136">
        <v>-3.5000000000000001E-3</v>
      </c>
      <c r="G63" s="136">
        <v>2.75E-2</v>
      </c>
      <c r="H63" s="136">
        <v>8.8000000000000005E-3</v>
      </c>
    </row>
    <row r="64" spans="1:8" x14ac:dyDescent="0.25">
      <c r="A64" s="9">
        <v>2010</v>
      </c>
      <c r="B64" s="9">
        <v>11</v>
      </c>
      <c r="C64" s="136">
        <v>-1.0200000000000001E-2</v>
      </c>
      <c r="D64" s="136"/>
      <c r="E64" s="141">
        <v>87784</v>
      </c>
      <c r="F64" s="136">
        <v>-1.7399999999999999E-2</v>
      </c>
      <c r="G64" s="136">
        <v>-5.1000000000000004E-3</v>
      </c>
      <c r="H64" s="136">
        <v>-9.1999999999999998E-3</v>
      </c>
    </row>
    <row r="65" spans="1:8" x14ac:dyDescent="0.25">
      <c r="A65" s="9">
        <v>2010</v>
      </c>
      <c r="B65" s="9">
        <v>12</v>
      </c>
      <c r="C65" s="136">
        <v>1.8200000000000001E-2</v>
      </c>
      <c r="D65" s="136"/>
      <c r="E65" s="141">
        <v>86045</v>
      </c>
      <c r="F65" s="136">
        <v>-1.54E-2</v>
      </c>
      <c r="G65" s="136">
        <v>5.6899999999999999E-2</v>
      </c>
      <c r="H65" s="136">
        <v>1.54E-2</v>
      </c>
    </row>
    <row r="66" spans="1:8" x14ac:dyDescent="0.25">
      <c r="A66" s="9">
        <v>2011</v>
      </c>
      <c r="B66" s="9">
        <v>1</v>
      </c>
      <c r="C66" s="136">
        <v>6.7999999999999996E-3</v>
      </c>
      <c r="D66" s="136"/>
      <c r="E66" s="141">
        <v>83298</v>
      </c>
      <c r="F66" s="136">
        <v>-6.6E-3</v>
      </c>
      <c r="G66" s="136">
        <v>2.0899999999999998E-2</v>
      </c>
      <c r="H66" s="136">
        <v>6.4999999999999997E-3</v>
      </c>
    </row>
    <row r="67" spans="1:8" x14ac:dyDescent="0.25">
      <c r="A67" s="9">
        <v>2011</v>
      </c>
      <c r="B67" s="9">
        <v>2</v>
      </c>
      <c r="C67" s="136">
        <v>1.9E-2</v>
      </c>
      <c r="D67" s="136"/>
      <c r="E67" s="141">
        <v>81546</v>
      </c>
      <c r="F67" s="136">
        <v>1.5100000000000001E-2</v>
      </c>
      <c r="G67" s="136">
        <v>2.3199999999999998E-2</v>
      </c>
      <c r="H67" s="136">
        <v>1.8800000000000001E-2</v>
      </c>
    </row>
    <row r="68" spans="1:8" x14ac:dyDescent="0.25">
      <c r="A68" s="9">
        <v>2011</v>
      </c>
      <c r="B68" s="9">
        <v>3</v>
      </c>
      <c r="C68" s="136">
        <v>1E-3</v>
      </c>
      <c r="D68" s="136"/>
      <c r="E68" s="141">
        <v>78298</v>
      </c>
      <c r="F68" s="136">
        <v>-2.8E-3</v>
      </c>
      <c r="G68" s="136">
        <v>4.0000000000000001E-3</v>
      </c>
      <c r="H68" s="136">
        <v>1.4E-3</v>
      </c>
    </row>
    <row r="69" spans="1:8" x14ac:dyDescent="0.25">
      <c r="A69" s="9">
        <v>2011</v>
      </c>
      <c r="B69" s="9">
        <v>4</v>
      </c>
      <c r="C69" s="136">
        <v>2.6100000000000002E-2</v>
      </c>
      <c r="D69" s="136"/>
      <c r="E69" s="141">
        <v>77011</v>
      </c>
      <c r="F69" s="136">
        <v>1.6E-2</v>
      </c>
      <c r="G69" s="136">
        <v>3.6499999999999998E-2</v>
      </c>
      <c r="H69" s="136">
        <v>2.58E-2</v>
      </c>
    </row>
    <row r="70" spans="1:8" x14ac:dyDescent="0.25">
      <c r="A70" s="9">
        <v>2011</v>
      </c>
      <c r="B70" s="9">
        <v>5</v>
      </c>
      <c r="C70" s="136">
        <v>8.3000000000000001E-3</v>
      </c>
      <c r="D70" s="136"/>
      <c r="E70" s="141">
        <v>74321</v>
      </c>
      <c r="F70" s="136">
        <v>1.5100000000000001E-2</v>
      </c>
      <c r="G70" s="136">
        <v>1.9E-3</v>
      </c>
      <c r="H70" s="136">
        <v>8.3999999999999995E-3</v>
      </c>
    </row>
    <row r="71" spans="1:8" x14ac:dyDescent="0.25">
      <c r="A71" s="9">
        <v>2011</v>
      </c>
      <c r="B71" s="9">
        <v>6</v>
      </c>
      <c r="C71" s="136">
        <v>-6.3E-3</v>
      </c>
      <c r="D71" s="136"/>
      <c r="E71" s="141">
        <v>70523</v>
      </c>
      <c r="F71" s="136">
        <v>3.0000000000000001E-3</v>
      </c>
      <c r="G71" s="136">
        <v>-6.6E-3</v>
      </c>
      <c r="H71" s="136">
        <v>-1.06E-2</v>
      </c>
    </row>
    <row r="72" spans="1:8" x14ac:dyDescent="0.25">
      <c r="A72" s="9">
        <v>2011</v>
      </c>
      <c r="B72" s="9">
        <v>7</v>
      </c>
      <c r="C72" s="136">
        <v>-5.1999999999999998E-3</v>
      </c>
      <c r="D72" s="136"/>
      <c r="E72" s="141">
        <v>66823</v>
      </c>
      <c r="F72" s="136">
        <v>9.7000000000000003E-3</v>
      </c>
      <c r="G72" s="136">
        <v>-3.0499999999999999E-2</v>
      </c>
      <c r="H72" s="136">
        <v>4.0000000000000002E-4</v>
      </c>
    </row>
    <row r="73" spans="1:8" x14ac:dyDescent="0.25">
      <c r="A73" s="9">
        <v>2011</v>
      </c>
      <c r="B73" s="9">
        <v>8</v>
      </c>
      <c r="C73" s="136">
        <v>-4.1999999999999997E-3</v>
      </c>
      <c r="D73" s="136"/>
      <c r="E73" s="141">
        <v>63211</v>
      </c>
      <c r="F73" s="136">
        <v>1.4E-2</v>
      </c>
      <c r="G73" s="136">
        <v>-2.5499999999999998E-2</v>
      </c>
      <c r="H73" s="136">
        <v>-2.7000000000000001E-3</v>
      </c>
    </row>
    <row r="74" spans="1:8" x14ac:dyDescent="0.25">
      <c r="A74" s="9">
        <v>2011</v>
      </c>
      <c r="B74" s="9">
        <v>9</v>
      </c>
      <c r="C74" s="136">
        <v>-1.6299999999999999E-2</v>
      </c>
      <c r="D74" s="136"/>
      <c r="E74" s="141">
        <v>58850</v>
      </c>
      <c r="F74" s="136">
        <v>6.4999999999999997E-3</v>
      </c>
      <c r="G74" s="136">
        <v>-4.3299999999999998E-2</v>
      </c>
      <c r="H74" s="136">
        <v>-1.46E-2</v>
      </c>
    </row>
    <row r="75" spans="1:8" x14ac:dyDescent="0.25">
      <c r="A75" s="9">
        <v>2011</v>
      </c>
      <c r="B75" s="9">
        <v>10</v>
      </c>
      <c r="C75" s="136">
        <v>3.9600000000000003E-2</v>
      </c>
      <c r="D75" s="136"/>
      <c r="E75" s="141">
        <v>57849</v>
      </c>
      <c r="F75" s="136">
        <v>-3.5999999999999999E-3</v>
      </c>
      <c r="G75" s="136">
        <v>8.5500000000000007E-2</v>
      </c>
      <c r="H75" s="136">
        <v>4.0300000000000002E-2</v>
      </c>
    </row>
    <row r="76" spans="1:8" x14ac:dyDescent="0.25">
      <c r="A76" s="9">
        <v>2011</v>
      </c>
      <c r="B76" s="9">
        <v>11</v>
      </c>
      <c r="C76" s="136">
        <v>2.0999999999999999E-3</v>
      </c>
      <c r="D76" s="136"/>
      <c r="E76" s="141">
        <v>54637</v>
      </c>
      <c r="F76" s="136">
        <v>6.4999999999999997E-3</v>
      </c>
      <c r="G76" s="136">
        <v>1.26E-2</v>
      </c>
      <c r="H76" s="136">
        <v>-5.3E-3</v>
      </c>
    </row>
    <row r="77" spans="1:8" x14ac:dyDescent="0.25">
      <c r="A77" s="9">
        <v>2011</v>
      </c>
      <c r="B77" s="9">
        <v>12</v>
      </c>
      <c r="C77" s="136">
        <v>2.2100000000000002E-2</v>
      </c>
      <c r="D77" s="136"/>
      <c r="E77" s="141">
        <v>52510</v>
      </c>
      <c r="F77" s="136">
        <v>1.9599999999999999E-2</v>
      </c>
      <c r="G77" s="136">
        <v>1.8100000000000002E-2</v>
      </c>
      <c r="H77" s="136">
        <v>2.53E-2</v>
      </c>
    </row>
    <row r="78" spans="1:8" s="87" customFormat="1" x14ac:dyDescent="0.25">
      <c r="A78" s="87">
        <v>2012</v>
      </c>
      <c r="B78" s="87">
        <v>1</v>
      </c>
      <c r="C78" s="154">
        <v>2.12E-2</v>
      </c>
      <c r="D78" s="154"/>
      <c r="E78" s="169">
        <v>50291</v>
      </c>
      <c r="F78" s="154">
        <v>2.1999999999999999E-2</v>
      </c>
      <c r="G78" s="154">
        <v>2.53E-2</v>
      </c>
      <c r="H78" s="154">
        <v>1.8800000000000001E-2</v>
      </c>
    </row>
    <row r="79" spans="1:8" x14ac:dyDescent="0.25">
      <c r="A79" s="9">
        <v>2012</v>
      </c>
      <c r="B79" s="9">
        <v>2</v>
      </c>
      <c r="C79" s="136">
        <v>1.2999999999999999E-2</v>
      </c>
      <c r="D79" s="136"/>
      <c r="E79" s="141">
        <v>47612</v>
      </c>
      <c r="F79" s="136">
        <v>-2.9999999999999997E-4</v>
      </c>
      <c r="G79" s="136">
        <v>2.6599999999999999E-2</v>
      </c>
      <c r="H79" s="136">
        <v>1.2800000000000001E-2</v>
      </c>
    </row>
    <row r="80" spans="1:8" x14ac:dyDescent="0.25">
      <c r="A80" s="9">
        <v>2012</v>
      </c>
      <c r="B80" s="9">
        <v>3</v>
      </c>
      <c r="C80" s="136">
        <v>5.7999999999999996E-3</v>
      </c>
      <c r="D80" s="136"/>
      <c r="E80" s="141">
        <v>44556</v>
      </c>
      <c r="F80" s="136">
        <v>-9.1999999999999998E-3</v>
      </c>
      <c r="G80" s="136">
        <v>2.2800000000000001E-2</v>
      </c>
      <c r="H80" s="136">
        <v>4.5999999999999999E-3</v>
      </c>
    </row>
    <row r="81" spans="1:8" x14ac:dyDescent="0.25">
      <c r="A81" s="9">
        <v>2012</v>
      </c>
      <c r="B81" s="9">
        <v>4</v>
      </c>
      <c r="C81" s="136">
        <v>7.4000000000000003E-3</v>
      </c>
      <c r="D81" s="136"/>
      <c r="E81" s="141">
        <v>41551</v>
      </c>
      <c r="F81" s="136">
        <v>1.12E-2</v>
      </c>
      <c r="G81" s="136">
        <v>0</v>
      </c>
      <c r="H81" s="136">
        <v>9.2999999999999992E-3</v>
      </c>
    </row>
    <row r="82" spans="1:8" x14ac:dyDescent="0.25">
      <c r="A82" s="9">
        <v>2012</v>
      </c>
      <c r="B82" s="9">
        <v>5</v>
      </c>
      <c r="C82" s="136">
        <v>-1.8599999999999998E-2</v>
      </c>
      <c r="D82" s="136"/>
      <c r="E82" s="141">
        <v>37445</v>
      </c>
      <c r="F82" s="136">
        <v>6.8999999999999999E-3</v>
      </c>
      <c r="G82" s="136">
        <v>-5.1200000000000002E-2</v>
      </c>
      <c r="H82" s="136">
        <v>-1.43E-2</v>
      </c>
    </row>
    <row r="83" spans="1:8" x14ac:dyDescent="0.25">
      <c r="A83" s="9">
        <v>2012</v>
      </c>
      <c r="B83" s="9">
        <v>6</v>
      </c>
      <c r="C83" s="136">
        <v>1.9699999999999999E-2</v>
      </c>
      <c r="D83" s="136"/>
      <c r="E83" s="141">
        <v>34850</v>
      </c>
      <c r="F83" s="136">
        <v>-1.6999999999999999E-3</v>
      </c>
      <c r="G83" s="136">
        <v>4.0800000000000003E-2</v>
      </c>
      <c r="H83" s="136">
        <v>0.02</v>
      </c>
    </row>
    <row r="84" spans="1:8" x14ac:dyDescent="0.25">
      <c r="A84" s="9">
        <v>2012</v>
      </c>
      <c r="B84" s="9">
        <v>7</v>
      </c>
      <c r="C84" s="136">
        <v>1.8200000000000001E-2</v>
      </c>
      <c r="D84" s="136"/>
      <c r="E84" s="141">
        <v>32150</v>
      </c>
      <c r="F84" s="136">
        <v>1.3899999999999999E-2</v>
      </c>
      <c r="G84" s="136">
        <v>9.9000000000000008E-3</v>
      </c>
      <c r="H84" s="136">
        <v>2.4400000000000002E-2</v>
      </c>
    </row>
    <row r="85" spans="1:8" x14ac:dyDescent="0.25">
      <c r="A85" s="9">
        <v>2012</v>
      </c>
      <c r="B85" s="9">
        <v>8</v>
      </c>
      <c r="C85" s="136">
        <v>7.0000000000000001E-3</v>
      </c>
      <c r="D85" s="136"/>
      <c r="E85" s="141">
        <v>29041</v>
      </c>
      <c r="F85" s="136">
        <v>1.8E-3</v>
      </c>
      <c r="G85" s="136">
        <v>1.5299999999999999E-2</v>
      </c>
      <c r="H85" s="136">
        <v>5.3E-3</v>
      </c>
    </row>
    <row r="86" spans="1:8" x14ac:dyDescent="0.25">
      <c r="A86" s="9">
        <v>2012</v>
      </c>
      <c r="B86" s="9">
        <v>9</v>
      </c>
      <c r="C86" s="136">
        <v>1.0200000000000001E-2</v>
      </c>
      <c r="D86" s="136"/>
      <c r="E86" s="141">
        <v>26005</v>
      </c>
      <c r="F86" s="136">
        <v>6.6E-3</v>
      </c>
      <c r="G86" s="136">
        <v>1.6799999999999999E-2</v>
      </c>
      <c r="H86" s="136">
        <v>8.6E-3</v>
      </c>
    </row>
    <row r="87" spans="1:8" x14ac:dyDescent="0.25">
      <c r="A87" s="9">
        <v>2012</v>
      </c>
      <c r="B87" s="9">
        <v>10</v>
      </c>
      <c r="C87" s="136">
        <v>-1.2999999999999999E-3</v>
      </c>
      <c r="D87" s="136"/>
      <c r="E87" s="141">
        <v>22637</v>
      </c>
      <c r="F87" s="136">
        <v>1.8E-3</v>
      </c>
      <c r="G87" s="136">
        <v>-1.18E-2</v>
      </c>
      <c r="H87" s="136">
        <v>2.5000000000000001E-3</v>
      </c>
    </row>
    <row r="88" spans="1:8" x14ac:dyDescent="0.25">
      <c r="A88" s="9">
        <v>2012</v>
      </c>
      <c r="B88" s="9">
        <v>11</v>
      </c>
      <c r="C88" s="136">
        <v>5.7000000000000002E-3</v>
      </c>
      <c r="D88" s="136"/>
      <c r="E88" s="141">
        <v>19432</v>
      </c>
      <c r="F88" s="136">
        <v>1.49E-2</v>
      </c>
      <c r="G88" s="136">
        <v>2.3999999999999998E-3</v>
      </c>
      <c r="H88" s="136">
        <v>2.8999999999999998E-3</v>
      </c>
    </row>
    <row r="89" spans="1:8" x14ac:dyDescent="0.25">
      <c r="A89" s="156">
        <v>2012</v>
      </c>
      <c r="B89" s="156">
        <v>12</v>
      </c>
      <c r="C89" s="157">
        <v>-5.9999999999999995E-4</v>
      </c>
      <c r="D89" s="157"/>
      <c r="E89" s="158">
        <v>16088</v>
      </c>
      <c r="F89" s="157">
        <v>-1.1900000000000001E-2</v>
      </c>
      <c r="G89" s="157">
        <v>5.4999999999999997E-3</v>
      </c>
      <c r="H89" s="157">
        <v>1.9E-3</v>
      </c>
    </row>
    <row r="90" spans="1:8" x14ac:dyDescent="0.25">
      <c r="A90" s="9" t="s">
        <v>21</v>
      </c>
      <c r="C90" s="136"/>
      <c r="D90" s="136"/>
      <c r="E90" s="141"/>
      <c r="F90" s="136"/>
      <c r="G90" s="136"/>
      <c r="H90" s="136"/>
    </row>
    <row r="91" spans="1:8" x14ac:dyDescent="0.25">
      <c r="C91" s="136"/>
      <c r="D91" s="136"/>
      <c r="E91" s="141"/>
      <c r="F91" s="136"/>
      <c r="G91" s="136"/>
      <c r="H91" s="136"/>
    </row>
    <row r="92" spans="1:8" x14ac:dyDescent="0.25">
      <c r="C92" s="136"/>
      <c r="D92" s="136"/>
      <c r="E92" s="141"/>
      <c r="F92" s="136"/>
      <c r="G92" s="136"/>
      <c r="H92" s="136"/>
    </row>
    <row r="93" spans="1:8" x14ac:dyDescent="0.25">
      <c r="A93" s="159"/>
      <c r="B93" s="159"/>
      <c r="C93" s="159"/>
      <c r="D93" s="159"/>
      <c r="E93" s="159"/>
      <c r="F93" s="159"/>
    </row>
    <row r="94" spans="1:8" x14ac:dyDescent="0.25">
      <c r="A94" s="159" t="s">
        <v>0</v>
      </c>
      <c r="B94" s="159" t="s">
        <v>18</v>
      </c>
      <c r="C94" s="160" t="s">
        <v>2</v>
      </c>
      <c r="D94" s="160"/>
      <c r="E94" s="161" t="s">
        <v>3</v>
      </c>
      <c r="F94" s="160" t="s">
        <v>35</v>
      </c>
      <c r="G94" s="136" t="s">
        <v>56</v>
      </c>
      <c r="H94" s="136" t="s">
        <v>42</v>
      </c>
    </row>
    <row r="95" spans="1:8" x14ac:dyDescent="0.25">
      <c r="A95" s="159" t="s">
        <v>20</v>
      </c>
      <c r="B95" s="159"/>
      <c r="C95" s="160"/>
      <c r="D95" s="160"/>
      <c r="E95" s="161"/>
      <c r="F95" s="160"/>
      <c r="G95" s="136"/>
      <c r="H95" s="136"/>
    </row>
    <row r="96" spans="1:8" x14ac:dyDescent="0.25">
      <c r="A96" s="159"/>
      <c r="B96" s="159"/>
      <c r="C96" s="160"/>
      <c r="D96" s="160"/>
      <c r="E96" s="161"/>
      <c r="F96" s="160"/>
      <c r="G96" s="136"/>
      <c r="H96" s="136"/>
    </row>
    <row r="97" spans="1:8" x14ac:dyDescent="0.25">
      <c r="A97" s="159">
        <v>2015</v>
      </c>
      <c r="B97" s="159">
        <v>1</v>
      </c>
      <c r="C97" s="160">
        <v>-2.0000000000000001E-4</v>
      </c>
      <c r="D97" s="160"/>
      <c r="E97" s="161">
        <v>196627</v>
      </c>
      <c r="F97" s="160">
        <v>1.5100000000000001E-2</v>
      </c>
      <c r="G97" s="136">
        <v>-2.69E-2</v>
      </c>
      <c r="H97" s="136">
        <v>5.4999999999999997E-3</v>
      </c>
    </row>
    <row r="98" spans="1:8" x14ac:dyDescent="0.25">
      <c r="A98" s="159">
        <v>2015</v>
      </c>
      <c r="B98" s="159">
        <v>2</v>
      </c>
      <c r="C98" s="160">
        <v>1.37E-2</v>
      </c>
      <c r="D98" s="160"/>
      <c r="E98" s="161">
        <v>195988</v>
      </c>
      <c r="F98" s="160">
        <v>-9.5999999999999992E-3</v>
      </c>
      <c r="G98" s="136">
        <v>4.9399999999999999E-2</v>
      </c>
      <c r="H98" s="136">
        <v>8.2000000000000007E-3</v>
      </c>
    </row>
    <row r="99" spans="1:8" x14ac:dyDescent="0.25">
      <c r="A99" s="159">
        <v>2015</v>
      </c>
      <c r="B99" s="159">
        <v>3</v>
      </c>
      <c r="C99" s="160">
        <v>-3.0000000000000001E-3</v>
      </c>
      <c r="D99" s="160"/>
      <c r="E99" s="161">
        <v>192067</v>
      </c>
      <c r="F99" s="160">
        <v>2.5000000000000001E-3</v>
      </c>
      <c r="G99" s="136">
        <v>-1.24E-2</v>
      </c>
      <c r="H99" s="136">
        <v>-1E-3</v>
      </c>
    </row>
    <row r="100" spans="1:8" x14ac:dyDescent="0.25">
      <c r="A100" s="159">
        <v>2015</v>
      </c>
      <c r="B100" s="159">
        <v>4</v>
      </c>
      <c r="C100" s="160">
        <v>1.2999999999999999E-3</v>
      </c>
      <c r="D100" s="160"/>
      <c r="E100" s="161">
        <v>188979</v>
      </c>
      <c r="F100" s="160">
        <v>-4.5999999999999999E-3</v>
      </c>
      <c r="G100" s="136">
        <v>-4.0000000000000002E-4</v>
      </c>
      <c r="H100" s="136">
        <v>5.1000000000000004E-3</v>
      </c>
    </row>
    <row r="101" spans="1:8" x14ac:dyDescent="0.25">
      <c r="A101" s="159">
        <v>2015</v>
      </c>
      <c r="B101" s="159">
        <v>5</v>
      </c>
      <c r="C101" s="160">
        <v>6.9999999999999999E-4</v>
      </c>
      <c r="D101" s="160"/>
      <c r="E101" s="161">
        <v>185779</v>
      </c>
      <c r="F101" s="160">
        <v>-3.0999999999999999E-3</v>
      </c>
      <c r="G101" s="136">
        <v>8.3000000000000001E-3</v>
      </c>
      <c r="H101" s="136">
        <v>-1.1999999999999999E-3</v>
      </c>
    </row>
    <row r="102" spans="1:8" x14ac:dyDescent="0.25">
      <c r="A102" s="159">
        <v>2015</v>
      </c>
      <c r="B102" s="159">
        <v>6</v>
      </c>
      <c r="C102" s="160">
        <v>-1.6400000000000001E-2</v>
      </c>
      <c r="D102" s="160"/>
      <c r="E102" s="161">
        <v>179395</v>
      </c>
      <c r="F102" s="160">
        <v>-1.1000000000000001E-3</v>
      </c>
      <c r="G102" s="136">
        <v>-2.3099999999999999E-2</v>
      </c>
      <c r="H102" s="136">
        <v>-2.06E-2</v>
      </c>
    </row>
    <row r="103" spans="1:8" x14ac:dyDescent="0.25">
      <c r="A103" s="159">
        <v>2015</v>
      </c>
      <c r="B103" s="159">
        <v>7</v>
      </c>
      <c r="C103" s="160">
        <v>1.6799999999999999E-2</v>
      </c>
      <c r="D103" s="160"/>
      <c r="E103" s="161">
        <v>179071</v>
      </c>
      <c r="F103" s="160">
        <v>6.7000000000000002E-3</v>
      </c>
      <c r="G103" s="136">
        <v>3.5799999999999998E-2</v>
      </c>
      <c r="H103" s="136">
        <v>1.23E-2</v>
      </c>
    </row>
    <row r="104" spans="1:8" x14ac:dyDescent="0.25">
      <c r="A104" s="159">
        <v>2015</v>
      </c>
      <c r="B104" s="159">
        <v>8</v>
      </c>
      <c r="C104" s="160">
        <v>-2.5499999999999998E-2</v>
      </c>
      <c r="D104" s="160"/>
      <c r="E104" s="161">
        <v>171171</v>
      </c>
      <c r="F104" s="160">
        <v>2.3999999999999998E-3</v>
      </c>
      <c r="G104" s="136">
        <v>-6.0400000000000002E-2</v>
      </c>
      <c r="H104" s="136">
        <v>-2.1600000000000001E-2</v>
      </c>
    </row>
    <row r="105" spans="1:8" x14ac:dyDescent="0.25">
      <c r="A105" s="159">
        <v>2015</v>
      </c>
      <c r="B105" s="159">
        <v>9</v>
      </c>
      <c r="C105" s="160">
        <v>8.0000000000000004E-4</v>
      </c>
      <c r="D105" s="160"/>
      <c r="E105" s="161">
        <v>167974</v>
      </c>
      <c r="F105" s="160">
        <v>6.6E-3</v>
      </c>
      <c r="G105" s="136">
        <v>-6.0000000000000001E-3</v>
      </c>
      <c r="H105" s="136">
        <v>1.1000000000000001E-3</v>
      </c>
    </row>
    <row r="106" spans="1:8" x14ac:dyDescent="0.25">
      <c r="A106" s="159">
        <v>2015</v>
      </c>
      <c r="B106" s="159">
        <v>10</v>
      </c>
      <c r="C106" s="160">
        <v>3.6400000000000002E-2</v>
      </c>
      <c r="D106" s="160"/>
      <c r="E106" s="161">
        <v>170753</v>
      </c>
      <c r="F106" s="160">
        <v>3.8E-3</v>
      </c>
      <c r="G106" s="136">
        <v>7.5800000000000006E-2</v>
      </c>
      <c r="H106" s="136">
        <v>3.4000000000000002E-2</v>
      </c>
    </row>
    <row r="107" spans="1:8" x14ac:dyDescent="0.25">
      <c r="A107" s="159">
        <v>2015</v>
      </c>
      <c r="B107" s="159">
        <v>11</v>
      </c>
      <c r="C107" s="160">
        <v>1.6999999999999999E-3</v>
      </c>
      <c r="D107" s="160"/>
      <c r="E107" s="161">
        <v>167716</v>
      </c>
      <c r="F107" s="160">
        <v>3.0000000000000001E-3</v>
      </c>
      <c r="G107" s="136">
        <v>3.8999999999999998E-3</v>
      </c>
      <c r="H107" s="136">
        <v>0</v>
      </c>
    </row>
    <row r="108" spans="1:8" x14ac:dyDescent="0.25">
      <c r="A108" s="159">
        <v>2015</v>
      </c>
      <c r="B108" s="159">
        <v>12</v>
      </c>
      <c r="C108" s="160">
        <v>-5.0000000000000001E-3</v>
      </c>
      <c r="D108" s="160"/>
      <c r="E108" s="161">
        <v>163545</v>
      </c>
      <c r="F108" s="160">
        <v>6.6E-3</v>
      </c>
      <c r="G108" s="136">
        <v>-1.0800000000000001E-2</v>
      </c>
      <c r="H108" s="136">
        <v>-7.9000000000000008E-3</v>
      </c>
    </row>
    <row r="109" spans="1:8" x14ac:dyDescent="0.25">
      <c r="A109" s="159">
        <v>2016</v>
      </c>
      <c r="B109" s="159">
        <v>1</v>
      </c>
      <c r="C109" s="160">
        <v>-4.8999999999999998E-3</v>
      </c>
      <c r="D109" s="160"/>
      <c r="E109" s="161">
        <v>159405</v>
      </c>
      <c r="F109" s="160">
        <v>1.29E-2</v>
      </c>
      <c r="G109" s="136">
        <v>-2.8500000000000001E-2</v>
      </c>
      <c r="H109" s="136">
        <v>-2E-3</v>
      </c>
    </row>
    <row r="110" spans="1:8" x14ac:dyDescent="0.25">
      <c r="A110" s="159">
        <v>2016</v>
      </c>
      <c r="B110" s="159">
        <v>2</v>
      </c>
      <c r="C110" s="160">
        <v>3.0000000000000001E-3</v>
      </c>
      <c r="D110" s="160"/>
      <c r="E110" s="161">
        <v>156543</v>
      </c>
      <c r="F110" s="160">
        <v>1E-4</v>
      </c>
      <c r="G110" s="136">
        <v>2.8E-3</v>
      </c>
      <c r="H110" s="136">
        <v>4.4999999999999997E-3</v>
      </c>
    </row>
    <row r="111" spans="1:8" x14ac:dyDescent="0.25">
      <c r="A111" s="159">
        <v>2016</v>
      </c>
      <c r="B111" s="159">
        <v>3</v>
      </c>
      <c r="C111" s="160">
        <v>3.2099999999999997E-2</v>
      </c>
      <c r="D111" s="160"/>
      <c r="E111" s="161">
        <v>158230</v>
      </c>
      <c r="F111" s="160">
        <v>3.0000000000000001E-3</v>
      </c>
      <c r="G111" s="136">
        <v>5.5899999999999998E-2</v>
      </c>
      <c r="H111" s="136">
        <v>3.5200000000000002E-2</v>
      </c>
    </row>
    <row r="112" spans="1:8" x14ac:dyDescent="0.25">
      <c r="A112" s="159">
        <v>2016</v>
      </c>
      <c r="B112" s="159">
        <v>4</v>
      </c>
      <c r="C112" s="160">
        <v>7.4999999999999997E-3</v>
      </c>
      <c r="D112" s="160"/>
      <c r="E112" s="161">
        <v>156079</v>
      </c>
      <c r="F112" s="160">
        <v>6.4000000000000003E-3</v>
      </c>
      <c r="G112" s="136">
        <v>5.1999999999999998E-3</v>
      </c>
      <c r="H112" s="136">
        <v>9.1000000000000004E-3</v>
      </c>
    </row>
    <row r="113" spans="1:8" x14ac:dyDescent="0.25">
      <c r="A113" s="159">
        <v>2016</v>
      </c>
      <c r="B113" s="159">
        <v>5</v>
      </c>
      <c r="C113" s="160">
        <v>4.5999999999999999E-3</v>
      </c>
      <c r="D113" s="160"/>
      <c r="E113" s="161">
        <v>153462</v>
      </c>
      <c r="F113" s="160">
        <v>8.9999999999999998E-4</v>
      </c>
      <c r="G113" s="136">
        <v>5.5999999999999999E-3</v>
      </c>
      <c r="H113" s="136">
        <v>5.8999999999999999E-3</v>
      </c>
    </row>
    <row r="114" spans="1:8" x14ac:dyDescent="0.25">
      <c r="A114" s="159">
        <v>2016</v>
      </c>
      <c r="B114" s="159">
        <v>6</v>
      </c>
      <c r="C114" s="160">
        <v>1.83E-2</v>
      </c>
      <c r="D114" s="160"/>
      <c r="E114" s="161">
        <v>152943</v>
      </c>
      <c r="F114" s="160">
        <v>1.4E-2</v>
      </c>
      <c r="G114" s="136">
        <v>1.5599999999999999E-2</v>
      </c>
      <c r="H114" s="136">
        <v>2.18E-2</v>
      </c>
    </row>
    <row r="115" spans="1:8" x14ac:dyDescent="0.25">
      <c r="A115" s="159">
        <v>2016</v>
      </c>
      <c r="B115" s="159">
        <v>7</v>
      </c>
      <c r="C115" s="160">
        <v>1.14E-2</v>
      </c>
      <c r="D115" s="160"/>
      <c r="E115" s="161">
        <v>151347</v>
      </c>
      <c r="F115" s="160">
        <v>-5.0000000000000001E-4</v>
      </c>
      <c r="G115" s="136">
        <v>1.7899999999999999E-2</v>
      </c>
      <c r="H115" s="136">
        <v>1.38E-2</v>
      </c>
    </row>
    <row r="116" spans="1:8" x14ac:dyDescent="0.25">
      <c r="A116" s="159">
        <v>2016</v>
      </c>
      <c r="B116" s="159">
        <v>8</v>
      </c>
      <c r="C116" s="160">
        <v>8.0000000000000004E-4</v>
      </c>
      <c r="D116" s="160"/>
      <c r="E116" s="161">
        <v>148133</v>
      </c>
      <c r="F116" s="160">
        <v>1.5E-3</v>
      </c>
      <c r="G116" s="136">
        <v>1.6999999999999999E-3</v>
      </c>
      <c r="H116" s="136">
        <v>0</v>
      </c>
    </row>
    <row r="117" spans="1:8" x14ac:dyDescent="0.25">
      <c r="A117" s="159">
        <v>2016</v>
      </c>
      <c r="B117" s="159">
        <v>9</v>
      </c>
      <c r="C117" s="160">
        <v>-5.4000000000000003E-3</v>
      </c>
      <c r="D117" s="160"/>
      <c r="E117" s="161">
        <v>143999</v>
      </c>
      <c r="F117" s="160">
        <v>-4.0000000000000001E-3</v>
      </c>
      <c r="G117" s="136">
        <v>-1.1299999999999999E-2</v>
      </c>
      <c r="H117" s="136">
        <v>-3.2000000000000002E-3</v>
      </c>
    </row>
    <row r="118" spans="1:8" x14ac:dyDescent="0.25">
      <c r="A118" s="159">
        <v>2016</v>
      </c>
      <c r="B118" s="159">
        <v>10</v>
      </c>
      <c r="C118" s="160">
        <v>-1.6E-2</v>
      </c>
      <c r="D118" s="160"/>
      <c r="E118" s="161">
        <v>138360</v>
      </c>
      <c r="F118" s="160">
        <v>-8.0999999999999996E-3</v>
      </c>
      <c r="G118" s="136">
        <v>-3.1399999999999997E-2</v>
      </c>
      <c r="H118" s="136">
        <v>-1.2200000000000001E-2</v>
      </c>
    </row>
    <row r="119" spans="1:8" x14ac:dyDescent="0.25">
      <c r="A119" s="159">
        <v>2016</v>
      </c>
      <c r="B119" s="159">
        <v>11</v>
      </c>
      <c r="C119" s="160">
        <v>-4.7999999999999996E-3</v>
      </c>
      <c r="D119" s="160"/>
      <c r="E119" s="161">
        <v>134363</v>
      </c>
      <c r="F119" s="160">
        <v>-3.4200000000000001E-2</v>
      </c>
      <c r="G119" s="136">
        <v>2.9700000000000001E-2</v>
      </c>
      <c r="H119" s="136">
        <v>-7.4000000000000003E-3</v>
      </c>
    </row>
    <row r="120" spans="1:8" x14ac:dyDescent="0.25">
      <c r="A120" s="159">
        <v>2016</v>
      </c>
      <c r="B120" s="159">
        <v>12</v>
      </c>
      <c r="C120" s="160">
        <v>1.24E-2</v>
      </c>
      <c r="D120" s="160"/>
      <c r="E120" s="161">
        <v>132690</v>
      </c>
      <c r="F120" s="160">
        <v>9.5999999999999992E-3</v>
      </c>
      <c r="G120" s="136">
        <v>1.2699999999999999E-2</v>
      </c>
      <c r="H120" s="136">
        <v>1.35E-2</v>
      </c>
    </row>
    <row r="121" spans="1:8" x14ac:dyDescent="0.25">
      <c r="A121" s="159">
        <v>2017</v>
      </c>
      <c r="B121" s="159">
        <v>1</v>
      </c>
      <c r="C121" s="160">
        <v>5.7999999999999996E-3</v>
      </c>
      <c r="D121" s="160"/>
      <c r="E121" s="161">
        <v>130124</v>
      </c>
      <c r="F121" s="160">
        <v>5.3E-3</v>
      </c>
      <c r="G121" s="136">
        <v>1.24E-2</v>
      </c>
      <c r="H121" s="136">
        <v>2.7000000000000001E-3</v>
      </c>
    </row>
    <row r="122" spans="1:8" x14ac:dyDescent="0.25">
      <c r="A122" s="159">
        <v>2017</v>
      </c>
      <c r="B122" s="159">
        <v>2</v>
      </c>
      <c r="C122" s="160">
        <v>2.2599999999999999E-2</v>
      </c>
      <c r="D122" s="160"/>
      <c r="E122" s="161">
        <v>129738</v>
      </c>
      <c r="F122" s="160">
        <v>5.7000000000000002E-3</v>
      </c>
      <c r="G122" s="136">
        <v>4.5499999999999999E-2</v>
      </c>
      <c r="H122" s="136">
        <v>1.9599999999999999E-2</v>
      </c>
    </row>
    <row r="123" spans="1:8" x14ac:dyDescent="0.25">
      <c r="A123" s="159">
        <v>2017</v>
      </c>
      <c r="B123" s="159">
        <v>3</v>
      </c>
      <c r="C123" s="160">
        <v>5.9999999999999995E-4</v>
      </c>
      <c r="D123" s="160"/>
      <c r="E123" s="161">
        <v>126484</v>
      </c>
      <c r="F123" s="160">
        <v>3.0999999999999999E-3</v>
      </c>
      <c r="G123" s="136">
        <v>2.0000000000000001E-4</v>
      </c>
      <c r="H123" s="136">
        <v>-4.0000000000000002E-4</v>
      </c>
    </row>
    <row r="124" spans="1:8" x14ac:dyDescent="0.25">
      <c r="A124" s="159">
        <v>2017</v>
      </c>
      <c r="B124" s="159">
        <v>4</v>
      </c>
      <c r="C124" s="160">
        <v>8.3999999999999995E-3</v>
      </c>
      <c r="D124" s="160"/>
      <c r="E124" s="161">
        <v>124211</v>
      </c>
      <c r="F124" s="160">
        <v>7.3000000000000001E-3</v>
      </c>
      <c r="G124" s="136">
        <v>1.2200000000000001E-2</v>
      </c>
      <c r="H124" s="136">
        <v>7.0000000000000001E-3</v>
      </c>
    </row>
    <row r="125" spans="1:8" x14ac:dyDescent="0.25">
      <c r="A125" s="159">
        <v>2017</v>
      </c>
      <c r="B125" s="159">
        <v>5</v>
      </c>
      <c r="C125" s="160">
        <v>1.37E-2</v>
      </c>
      <c r="D125" s="160"/>
      <c r="E125" s="161">
        <v>122585</v>
      </c>
      <c r="F125" s="160">
        <v>1.37E-2</v>
      </c>
      <c r="G125" s="136">
        <v>1.7999999999999999E-2</v>
      </c>
      <c r="H125" s="136">
        <v>1.15E-2</v>
      </c>
    </row>
    <row r="126" spans="1:8" x14ac:dyDescent="0.25">
      <c r="A126" s="159">
        <v>2017</v>
      </c>
      <c r="B126" s="159">
        <v>6</v>
      </c>
      <c r="C126" s="160">
        <v>3.2000000000000002E-3</v>
      </c>
      <c r="D126" s="160"/>
      <c r="E126" s="161">
        <v>119650</v>
      </c>
      <c r="F126" s="160">
        <v>-3.3999999999999998E-3</v>
      </c>
      <c r="G126" s="136">
        <v>7.7999999999999996E-3</v>
      </c>
      <c r="H126" s="136">
        <v>4.1000000000000003E-3</v>
      </c>
    </row>
    <row r="127" spans="1:8" x14ac:dyDescent="0.25">
      <c r="A127" s="159">
        <v>2017</v>
      </c>
      <c r="B127" s="159">
        <v>7</v>
      </c>
      <c r="C127" s="160">
        <v>9.2999999999999992E-3</v>
      </c>
      <c r="D127" s="160"/>
      <c r="E127" s="161">
        <v>117432</v>
      </c>
      <c r="F127" s="160">
        <v>6.4999999999999997E-3</v>
      </c>
      <c r="G127" s="136">
        <v>1.2999999999999999E-2</v>
      </c>
      <c r="H127" s="136">
        <v>8.8000000000000005E-3</v>
      </c>
    </row>
    <row r="128" spans="1:8" x14ac:dyDescent="0.25">
      <c r="A128" s="159">
        <v>2017</v>
      </c>
      <c r="B128" s="159">
        <v>8</v>
      </c>
      <c r="C128" s="160">
        <v>3.5999999999999999E-3</v>
      </c>
      <c r="D128" s="160"/>
      <c r="E128" s="161">
        <v>114525</v>
      </c>
      <c r="F128" s="160">
        <v>7.9000000000000008E-3</v>
      </c>
      <c r="G128" s="136">
        <v>-3.5000000000000001E-3</v>
      </c>
      <c r="H128" s="136">
        <v>5.3E-3</v>
      </c>
    </row>
    <row r="129" spans="1:8" x14ac:dyDescent="0.25">
      <c r="A129" s="159">
        <v>2017</v>
      </c>
      <c r="B129" s="159">
        <v>9</v>
      </c>
      <c r="C129" s="160">
        <v>7.7999999999999996E-3</v>
      </c>
      <c r="D129" s="160"/>
      <c r="E129" s="161">
        <v>112089</v>
      </c>
      <c r="F129" s="160">
        <v>-4.1000000000000003E-3</v>
      </c>
      <c r="G129" s="136">
        <v>1.7999999999999999E-2</v>
      </c>
      <c r="H129" s="136">
        <v>8.3999999999999995E-3</v>
      </c>
    </row>
    <row r="130" spans="1:8" x14ac:dyDescent="0.25">
      <c r="A130" s="159">
        <v>2017</v>
      </c>
      <c r="B130" s="159">
        <v>10</v>
      </c>
      <c r="C130" s="160">
        <v>5.7000000000000002E-3</v>
      </c>
      <c r="D130" s="160"/>
      <c r="E130" s="161">
        <v>109393</v>
      </c>
      <c r="F130" s="160">
        <v>8.9999999999999998E-4</v>
      </c>
      <c r="G130" s="136">
        <v>3.8E-3</v>
      </c>
      <c r="H130" s="136">
        <v>8.9999999999999993E-3</v>
      </c>
    </row>
    <row r="131" spans="1:8" x14ac:dyDescent="0.25">
      <c r="A131" s="159">
        <v>2017</v>
      </c>
      <c r="B131" s="159">
        <v>11</v>
      </c>
      <c r="C131" s="160">
        <v>1.3599999999999999E-2</v>
      </c>
      <c r="D131" s="160"/>
      <c r="E131" s="161">
        <v>107546</v>
      </c>
      <c r="F131" s="160">
        <v>-7.0000000000000001E-3</v>
      </c>
      <c r="G131" s="136">
        <v>3.78E-2</v>
      </c>
      <c r="H131" s="136">
        <v>1.0800000000000001E-2</v>
      </c>
    </row>
    <row r="132" spans="1:8" x14ac:dyDescent="0.25">
      <c r="A132" s="159">
        <v>2017</v>
      </c>
      <c r="B132" s="159">
        <v>12</v>
      </c>
      <c r="C132" s="160">
        <v>1.12E-2</v>
      </c>
      <c r="D132" s="160"/>
      <c r="E132" s="161">
        <v>105413</v>
      </c>
      <c r="F132" s="160">
        <v>8.6999999999999994E-3</v>
      </c>
      <c r="G132" s="136">
        <v>1.3899999999999999E-2</v>
      </c>
      <c r="H132" s="136">
        <v>1.0800000000000001E-2</v>
      </c>
    </row>
    <row r="133" spans="1:8" x14ac:dyDescent="0.25">
      <c r="A133" s="159">
        <v>2018</v>
      </c>
      <c r="B133" s="159">
        <v>1</v>
      </c>
      <c r="C133" s="160">
        <v>1.24E-2</v>
      </c>
      <c r="D133" s="160"/>
      <c r="E133" s="161">
        <v>103389</v>
      </c>
      <c r="F133" s="160">
        <v>-1.04E-2</v>
      </c>
      <c r="G133" s="136">
        <v>4.9000000000000002E-2</v>
      </c>
      <c r="H133" s="136">
        <v>5.5999999999999999E-3</v>
      </c>
    </row>
    <row r="134" spans="1:8" x14ac:dyDescent="0.25">
      <c r="A134" s="159">
        <v>2018</v>
      </c>
      <c r="B134" s="159">
        <v>2</v>
      </c>
      <c r="C134" s="160">
        <v>-2.5399999999999999E-2</v>
      </c>
      <c r="D134" s="160"/>
      <c r="E134" s="161">
        <v>97427</v>
      </c>
      <c r="F134" s="160">
        <v>-2.8999999999999998E-3</v>
      </c>
      <c r="G134" s="136">
        <v>-4.3099999999999999E-2</v>
      </c>
      <c r="H134" s="136">
        <v>-2.7300000000000001E-2</v>
      </c>
    </row>
    <row r="135" spans="1:8" x14ac:dyDescent="0.25">
      <c r="A135" s="159">
        <v>2018</v>
      </c>
      <c r="B135" s="159">
        <v>3</v>
      </c>
      <c r="C135" s="160">
        <v>-4.4000000000000003E-3</v>
      </c>
      <c r="D135" s="160"/>
      <c r="E135" s="161">
        <v>93665</v>
      </c>
      <c r="F135" s="160">
        <v>2.3999999999999998E-3</v>
      </c>
      <c r="G135" s="136">
        <v>-1.43E-2</v>
      </c>
      <c r="H135" s="136">
        <v>-2.7000000000000001E-3</v>
      </c>
    </row>
    <row r="136" spans="1:8" x14ac:dyDescent="0.25">
      <c r="A136" s="159">
        <v>2018</v>
      </c>
      <c r="B136" s="159">
        <v>4</v>
      </c>
      <c r="C136" s="160">
        <v>0</v>
      </c>
      <c r="D136" s="160"/>
      <c r="E136" s="161">
        <v>90328</v>
      </c>
      <c r="F136" s="160">
        <v>-3.5000000000000001E-3</v>
      </c>
      <c r="G136" s="136">
        <v>1.3100000000000001E-2</v>
      </c>
      <c r="H136" s="136">
        <v>-5.0000000000000001E-3</v>
      </c>
    </row>
    <row r="137" spans="1:8" x14ac:dyDescent="0.25">
      <c r="A137" s="159">
        <v>2018</v>
      </c>
      <c r="B137" s="159">
        <v>5</v>
      </c>
      <c r="C137" s="160">
        <v>8.9999999999999993E-3</v>
      </c>
      <c r="D137" s="160"/>
      <c r="E137" s="161">
        <v>87811</v>
      </c>
      <c r="F137" s="160">
        <v>1.04E-2</v>
      </c>
      <c r="G137" s="136">
        <v>1.2500000000000001E-2</v>
      </c>
      <c r="H137" s="136">
        <v>6.4999999999999997E-3</v>
      </c>
    </row>
    <row r="138" spans="1:8" x14ac:dyDescent="0.25">
      <c r="A138" s="159">
        <v>2018</v>
      </c>
      <c r="B138" s="159">
        <v>6</v>
      </c>
      <c r="C138" s="160">
        <v>2E-3</v>
      </c>
      <c r="D138" s="160"/>
      <c r="E138" s="161">
        <v>84649</v>
      </c>
      <c r="F138" s="160">
        <v>8.9999999999999998E-4</v>
      </c>
      <c r="G138" s="136">
        <v>3.5999999999999999E-3</v>
      </c>
      <c r="H138" s="136">
        <v>1.6000000000000001E-3</v>
      </c>
    </row>
    <row r="139" spans="1:8" x14ac:dyDescent="0.25">
      <c r="A139" s="159">
        <v>2018</v>
      </c>
      <c r="B139" s="159">
        <v>7</v>
      </c>
      <c r="C139" s="160">
        <v>2.1399999999999999E-2</v>
      </c>
      <c r="D139" s="160"/>
      <c r="E139" s="161">
        <v>83124</v>
      </c>
      <c r="F139" s="160">
        <v>2.3999999999999998E-3</v>
      </c>
      <c r="G139" s="136">
        <v>4.1799999999999997E-2</v>
      </c>
      <c r="H139" s="136">
        <v>2.0400000000000001E-2</v>
      </c>
    </row>
    <row r="140" spans="1:8" x14ac:dyDescent="0.25">
      <c r="A140" s="159">
        <v>2018</v>
      </c>
      <c r="B140" s="159">
        <v>8</v>
      </c>
      <c r="C140" s="160">
        <v>8.0999999999999996E-3</v>
      </c>
      <c r="D140" s="160"/>
      <c r="E140" s="161">
        <v>80466</v>
      </c>
      <c r="F140" s="160">
        <v>1.6999999999999999E-3</v>
      </c>
      <c r="G140" s="136">
        <v>1.8800000000000001E-2</v>
      </c>
      <c r="H140" s="136">
        <v>5.7000000000000002E-3</v>
      </c>
    </row>
    <row r="141" spans="1:8" x14ac:dyDescent="0.25">
      <c r="A141" s="159">
        <v>2018</v>
      </c>
      <c r="B141" s="159">
        <v>9</v>
      </c>
      <c r="C141" s="160">
        <v>2.5000000000000001E-3</v>
      </c>
      <c r="D141" s="160"/>
      <c r="E141" s="161">
        <v>77332</v>
      </c>
      <c r="F141" s="160">
        <v>-4.7999999999999996E-3</v>
      </c>
      <c r="G141" s="136">
        <v>1.8100000000000002E-2</v>
      </c>
      <c r="H141" s="136">
        <v>-2.3E-3</v>
      </c>
    </row>
    <row r="142" spans="1:8" x14ac:dyDescent="0.25">
      <c r="A142" s="159">
        <v>2018</v>
      </c>
      <c r="B142" s="159">
        <v>10</v>
      </c>
      <c r="C142" s="160">
        <v>-2.5999999999999999E-2</v>
      </c>
      <c r="D142" s="160"/>
      <c r="E142" s="161">
        <v>71987</v>
      </c>
      <c r="F142" s="160">
        <v>-5.5999999999999999E-3</v>
      </c>
      <c r="G142" s="136">
        <v>-5.0599999999999999E-2</v>
      </c>
      <c r="H142" s="136">
        <v>-2.2700000000000001E-2</v>
      </c>
    </row>
    <row r="143" spans="1:8" x14ac:dyDescent="0.25">
      <c r="A143" s="159">
        <v>2018</v>
      </c>
      <c r="B143" s="159">
        <v>11</v>
      </c>
      <c r="C143" s="160">
        <v>2.2100000000000002E-2</v>
      </c>
      <c r="D143" s="160"/>
      <c r="E143" s="161">
        <v>70244</v>
      </c>
      <c r="F143" s="160">
        <v>1.04E-2</v>
      </c>
      <c r="G143" s="136">
        <v>4.41E-2</v>
      </c>
      <c r="H143" s="136">
        <v>1.6299999999999999E-2</v>
      </c>
    </row>
    <row r="144" spans="1:8" x14ac:dyDescent="0.25">
      <c r="A144" s="159">
        <v>2018</v>
      </c>
      <c r="B144" s="159">
        <v>12</v>
      </c>
      <c r="C144" s="160">
        <v>-2.9100000000000001E-2</v>
      </c>
      <c r="D144" s="160"/>
      <c r="E144" s="161">
        <v>64864</v>
      </c>
      <c r="F144" s="160">
        <v>1.1900000000000001E-2</v>
      </c>
      <c r="G144" s="136">
        <v>-8.1900000000000001E-2</v>
      </c>
      <c r="H144" s="136">
        <v>-2.0799999999999999E-2</v>
      </c>
    </row>
    <row r="145" spans="1:8" x14ac:dyDescent="0.25">
      <c r="A145" s="159">
        <v>2019</v>
      </c>
      <c r="B145" s="159">
        <v>1</v>
      </c>
      <c r="C145" s="160">
        <v>3.4299999999999997E-2</v>
      </c>
      <c r="D145" s="160"/>
      <c r="E145" s="161">
        <v>63753</v>
      </c>
      <c r="F145" s="160">
        <v>8.2000000000000007E-3</v>
      </c>
      <c r="G145" s="136">
        <v>6.4199999999999993E-2</v>
      </c>
      <c r="H145" s="136">
        <v>3.2300000000000002E-2</v>
      </c>
    </row>
    <row r="146" spans="1:8" x14ac:dyDescent="0.25">
      <c r="A146" s="159">
        <v>2019</v>
      </c>
      <c r="B146" s="159">
        <v>2</v>
      </c>
      <c r="C146" s="160">
        <v>1.83E-2</v>
      </c>
      <c r="D146" s="160"/>
      <c r="E146" s="161">
        <v>61588</v>
      </c>
      <c r="F146" s="160">
        <v>5.0000000000000001E-3</v>
      </c>
      <c r="G146" s="136">
        <v>3.73E-2</v>
      </c>
      <c r="H146" s="136">
        <v>1.5100000000000001E-2</v>
      </c>
    </row>
    <row r="147" spans="1:8" x14ac:dyDescent="0.25">
      <c r="A147" s="159">
        <v>2019</v>
      </c>
      <c r="B147" s="159">
        <v>3</v>
      </c>
      <c r="C147" s="160">
        <v>2.07E-2</v>
      </c>
      <c r="D147" s="160"/>
      <c r="E147" s="161">
        <v>59528</v>
      </c>
      <c r="F147" s="160">
        <v>1.2999999999999999E-2</v>
      </c>
      <c r="G147" s="136">
        <v>3.1300000000000001E-2</v>
      </c>
      <c r="H147" s="136">
        <v>1.8800000000000001E-2</v>
      </c>
    </row>
    <row r="148" spans="1:8" x14ac:dyDescent="0.25">
      <c r="A148" s="159">
        <v>2019</v>
      </c>
      <c r="B148" s="159">
        <v>4</v>
      </c>
      <c r="C148" s="160">
        <v>1.4500000000000001E-2</v>
      </c>
      <c r="D148" s="160"/>
      <c r="E148" s="161">
        <v>57061</v>
      </c>
      <c r="F148" s="160">
        <v>2.8999999999999998E-3</v>
      </c>
      <c r="G148" s="136">
        <v>3.2000000000000001E-2</v>
      </c>
      <c r="H148" s="136">
        <v>1.0800000000000001E-2</v>
      </c>
    </row>
    <row r="149" spans="1:8" x14ac:dyDescent="0.25">
      <c r="A149" s="159">
        <v>2019</v>
      </c>
      <c r="B149" s="159">
        <v>5</v>
      </c>
      <c r="C149" s="160">
        <v>-7.0000000000000001E-3</v>
      </c>
      <c r="D149" s="160"/>
      <c r="E149" s="161">
        <v>53326</v>
      </c>
      <c r="F149" s="160">
        <v>1.3599999999999999E-2</v>
      </c>
      <c r="G149" s="136">
        <v>-2.6100000000000002E-2</v>
      </c>
      <c r="H149" s="136">
        <v>-6.4999999999999997E-3</v>
      </c>
    </row>
    <row r="150" spans="1:8" x14ac:dyDescent="0.25">
      <c r="A150" s="159">
        <v>2019</v>
      </c>
      <c r="B150" s="159">
        <v>6</v>
      </c>
      <c r="C150" s="160">
        <v>3.1600000000000003E-2</v>
      </c>
      <c r="D150" s="160"/>
      <c r="E150" s="161">
        <v>51680</v>
      </c>
      <c r="F150" s="160">
        <v>3.5999999999999999E-3</v>
      </c>
      <c r="G150" s="136">
        <v>5.7599999999999998E-2</v>
      </c>
      <c r="H150" s="136">
        <v>3.1399999999999997E-2</v>
      </c>
    </row>
    <row r="151" spans="1:8" x14ac:dyDescent="0.25">
      <c r="A151" s="159">
        <v>2019</v>
      </c>
      <c r="B151" s="159">
        <v>7</v>
      </c>
      <c r="C151" s="160">
        <v>9.1999999999999998E-3</v>
      </c>
      <c r="D151" s="160"/>
      <c r="E151" s="161">
        <v>48823</v>
      </c>
      <c r="F151" s="160">
        <v>7.7999999999999996E-3</v>
      </c>
      <c r="G151" s="136">
        <v>1.84E-2</v>
      </c>
      <c r="H151" s="136">
        <v>4.8999999999999998E-3</v>
      </c>
    </row>
    <row r="152" spans="1:8" x14ac:dyDescent="0.25">
      <c r="A152" s="159">
        <v>2019</v>
      </c>
      <c r="B152" s="159">
        <v>8</v>
      </c>
      <c r="C152" s="160">
        <v>1.5299999999999999E-2</v>
      </c>
      <c r="D152" s="160"/>
      <c r="E152" s="161">
        <v>46238</v>
      </c>
      <c r="F152" s="160">
        <v>1.32E-2</v>
      </c>
      <c r="G152" s="136">
        <v>1.44E-2</v>
      </c>
      <c r="H152" s="136">
        <v>1.6799999999999999E-2</v>
      </c>
    </row>
    <row r="153" spans="1:8" x14ac:dyDescent="0.25">
      <c r="A153" s="170">
        <v>2019</v>
      </c>
      <c r="B153" s="170">
        <v>9</v>
      </c>
      <c r="C153" s="171">
        <v>1.6000000000000001E-3</v>
      </c>
      <c r="D153" s="171"/>
      <c r="E153" s="172">
        <v>42979</v>
      </c>
      <c r="F153" s="171">
        <v>-7.4999999999999997E-3</v>
      </c>
      <c r="G153" s="154">
        <v>1.6000000000000001E-3</v>
      </c>
      <c r="H153" s="154">
        <v>5.8999999999999999E-3</v>
      </c>
    </row>
    <row r="154" spans="1:8" x14ac:dyDescent="0.25">
      <c r="A154" s="159">
        <v>2019</v>
      </c>
      <c r="B154" s="159">
        <v>10</v>
      </c>
      <c r="C154" s="160">
        <v>1.9E-3</v>
      </c>
      <c r="D154" s="160"/>
      <c r="E154" s="161">
        <v>39728</v>
      </c>
      <c r="F154" s="160">
        <v>1.4E-3</v>
      </c>
      <c r="G154" s="136">
        <v>-5.5999999999999999E-3</v>
      </c>
      <c r="H154" s="136">
        <v>6.3E-3</v>
      </c>
    </row>
    <row r="155" spans="1:8" x14ac:dyDescent="0.25">
      <c r="A155" s="9">
        <v>2019</v>
      </c>
      <c r="B155" s="9">
        <v>11</v>
      </c>
      <c r="C155" s="136">
        <v>1.0200000000000001E-2</v>
      </c>
      <c r="D155" s="136"/>
      <c r="E155" s="141">
        <v>36802</v>
      </c>
      <c r="F155" s="136">
        <v>1.4E-3</v>
      </c>
      <c r="G155" s="136">
        <v>2.52E-2</v>
      </c>
      <c r="H155" s="136">
        <v>6.1999999999999998E-3</v>
      </c>
    </row>
    <row r="156" spans="1:8" x14ac:dyDescent="0.25">
      <c r="A156" s="156">
        <v>2019</v>
      </c>
      <c r="B156" s="156">
        <v>12</v>
      </c>
      <c r="C156" s="157">
        <v>1.3599999999999999E-2</v>
      </c>
      <c r="D156" s="157"/>
      <c r="E156" s="158">
        <v>33968</v>
      </c>
      <c r="F156" s="157">
        <v>3.5000000000000001E-3</v>
      </c>
      <c r="G156" s="157">
        <v>2.5899999999999999E-2</v>
      </c>
      <c r="H156" s="157">
        <v>1.14E-2</v>
      </c>
    </row>
    <row r="157" spans="1:8" x14ac:dyDescent="0.25">
      <c r="A157" s="9" t="s">
        <v>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90E24-A1C6-450F-A8D0-0F64B0052D42}">
  <dimension ref="A1:R155"/>
  <sheetViews>
    <sheetView workbookViewId="0"/>
  </sheetViews>
  <sheetFormatPr defaultRowHeight="15" x14ac:dyDescent="0.25"/>
  <cols>
    <col min="4" max="4" width="18.140625" bestFit="1" customWidth="1"/>
  </cols>
  <sheetData>
    <row r="1" spans="1:18" x14ac:dyDescent="0.25">
      <c r="A1" t="s">
        <v>36</v>
      </c>
      <c r="J1" t="s">
        <v>72</v>
      </c>
      <c r="K1" t="s">
        <v>6</v>
      </c>
      <c r="L1" s="2">
        <f>C4*5</f>
        <v>0.33412500000000001</v>
      </c>
      <c r="M1" s="7">
        <f>L1/L2</f>
        <v>1.8258196721311477</v>
      </c>
      <c r="Q1" s="2">
        <f>C4</f>
        <v>6.6824999999999996E-2</v>
      </c>
    </row>
    <row r="2" spans="1:18" x14ac:dyDescent="0.25">
      <c r="A2" t="s">
        <v>0</v>
      </c>
      <c r="B2" t="s">
        <v>1</v>
      </c>
      <c r="C2" t="s">
        <v>2</v>
      </c>
      <c r="D2" t="s">
        <v>3</v>
      </c>
      <c r="E2" t="s">
        <v>35</v>
      </c>
      <c r="F2" t="s">
        <v>56</v>
      </c>
      <c r="K2" t="s">
        <v>7</v>
      </c>
      <c r="L2" s="5">
        <v>0.183</v>
      </c>
      <c r="O2" t="s">
        <v>8</v>
      </c>
      <c r="P2">
        <v>200000</v>
      </c>
      <c r="Q2">
        <v>40000</v>
      </c>
      <c r="R2" t="s">
        <v>9</v>
      </c>
    </row>
    <row r="3" spans="1:18" ht="15.75" thickBot="1" x14ac:dyDescent="0.3">
      <c r="A3" t="s">
        <v>5</v>
      </c>
      <c r="O3">
        <v>1</v>
      </c>
      <c r="P3">
        <f>P2 - Q2</f>
        <v>160000</v>
      </c>
      <c r="Q3" s="6">
        <f>P3*(1+Q1)</f>
        <v>170692</v>
      </c>
    </row>
    <row r="4" spans="1:18" x14ac:dyDescent="0.25">
      <c r="C4" s="1">
        <f>AVERAGE(C5:C24)</f>
        <v>6.6824999999999996E-2</v>
      </c>
      <c r="E4" s="1"/>
      <c r="H4" s="2" t="s">
        <v>36</v>
      </c>
      <c r="J4" s="31" t="s">
        <v>76</v>
      </c>
      <c r="K4" s="32" t="s">
        <v>6</v>
      </c>
      <c r="L4" s="33">
        <f>L1</f>
        <v>0.33412500000000001</v>
      </c>
      <c r="M4" s="34">
        <f>L4/L5</f>
        <v>2.9309210526315788</v>
      </c>
      <c r="O4">
        <v>2</v>
      </c>
      <c r="P4" s="6">
        <f>Q3-Q2</f>
        <v>130692</v>
      </c>
      <c r="Q4" s="6">
        <f>P4*(1+Q1)</f>
        <v>139425.49289999998</v>
      </c>
    </row>
    <row r="5" spans="1:18" ht="15.75" thickBot="1" x14ac:dyDescent="0.3">
      <c r="A5">
        <v>2000</v>
      </c>
      <c r="B5" s="1">
        <v>3.39E-2</v>
      </c>
      <c r="C5" s="1">
        <v>0.1401</v>
      </c>
      <c r="D5" s="3">
        <v>1140</v>
      </c>
      <c r="E5" s="1">
        <v>9.2399999999999996E-2</v>
      </c>
      <c r="F5" s="1">
        <v>0.18770000000000001</v>
      </c>
      <c r="G5" s="1"/>
      <c r="H5">
        <v>1</v>
      </c>
      <c r="J5" s="35"/>
      <c r="K5" s="36" t="s">
        <v>7</v>
      </c>
      <c r="L5" s="38">
        <v>0.114</v>
      </c>
      <c r="M5" s="37"/>
      <c r="O5">
        <v>3</v>
      </c>
      <c r="P5" s="6">
        <f>Q4-Q2</f>
        <v>99425.492899999983</v>
      </c>
      <c r="Q5" s="6">
        <f>P5*(1+Q1)</f>
        <v>106069.60146304248</v>
      </c>
    </row>
    <row r="6" spans="1:18" x14ac:dyDescent="0.25">
      <c r="A6">
        <v>2001</v>
      </c>
      <c r="B6" s="1">
        <v>1.55E-2</v>
      </c>
      <c r="C6" s="1">
        <v>-7.1999999999999995E-2</v>
      </c>
      <c r="D6" s="3">
        <v>1058</v>
      </c>
      <c r="E6" s="1">
        <v>5.0500000000000003E-2</v>
      </c>
      <c r="F6" s="1">
        <v>-0.19450000000000001</v>
      </c>
      <c r="G6" s="1"/>
      <c r="H6">
        <v>2</v>
      </c>
      <c r="O6">
        <v>4</v>
      </c>
      <c r="P6" s="6">
        <f>Q5-Q2</f>
        <v>66069.601463042476</v>
      </c>
      <c r="Q6" s="6">
        <f>P6*(1+Q1)</f>
        <v>70484.702580810277</v>
      </c>
    </row>
    <row r="7" spans="1:18" x14ac:dyDescent="0.25">
      <c r="A7">
        <v>2002</v>
      </c>
      <c r="B7" s="1">
        <v>2.3800000000000002E-2</v>
      </c>
      <c r="C7" s="1">
        <v>-7.6200000000000004E-2</v>
      </c>
      <c r="D7" s="3">
        <v>977</v>
      </c>
      <c r="E7" s="1">
        <v>7.9100000000000004E-2</v>
      </c>
      <c r="F7" s="1">
        <v>-0.2316</v>
      </c>
      <c r="G7" s="1"/>
      <c r="H7">
        <v>3</v>
      </c>
      <c r="O7">
        <v>5</v>
      </c>
      <c r="P7" s="6">
        <f>Q6-Q2</f>
        <v>30484.702580810277</v>
      </c>
      <c r="Q7" s="6">
        <f>P7*(1+Q1)</f>
        <v>32521.842830772923</v>
      </c>
    </row>
    <row r="8" spans="1:18" x14ac:dyDescent="0.25">
      <c r="A8">
        <v>2003</v>
      </c>
      <c r="B8" s="1">
        <v>1.8800000000000001E-2</v>
      </c>
      <c r="C8" s="1">
        <v>0.16830000000000001</v>
      </c>
      <c r="D8" s="3">
        <v>1142</v>
      </c>
      <c r="E8" s="1">
        <v>4.4600000000000001E-2</v>
      </c>
      <c r="F8" s="1">
        <v>0.29199999999999998</v>
      </c>
      <c r="G8" s="1"/>
      <c r="H8">
        <v>4</v>
      </c>
    </row>
    <row r="9" spans="1:18" x14ac:dyDescent="0.25">
      <c r="A9">
        <v>2004</v>
      </c>
      <c r="B9" s="1">
        <v>3.2599999999999997E-2</v>
      </c>
      <c r="C9" s="1">
        <v>7.1199999999999999E-2</v>
      </c>
      <c r="D9" s="3">
        <v>1223</v>
      </c>
      <c r="E9" s="1">
        <v>3.2300000000000002E-2</v>
      </c>
      <c r="F9" s="1">
        <v>0.1101</v>
      </c>
      <c r="G9" s="1"/>
      <c r="H9">
        <v>5</v>
      </c>
    </row>
    <row r="10" spans="1:18" x14ac:dyDescent="0.25">
      <c r="A10">
        <v>2005</v>
      </c>
      <c r="B10" s="1">
        <v>3.4200000000000001E-2</v>
      </c>
      <c r="C10" s="1">
        <v>3.2399999999999998E-2</v>
      </c>
      <c r="D10" s="3">
        <v>1263</v>
      </c>
      <c r="E10" s="1">
        <v>2.24E-2</v>
      </c>
      <c r="F10" s="1">
        <v>4.2299999999999997E-2</v>
      </c>
      <c r="G10" s="1"/>
      <c r="H10">
        <v>6</v>
      </c>
      <c r="O10" t="s">
        <v>10</v>
      </c>
    </row>
    <row r="11" spans="1:18" x14ac:dyDescent="0.25">
      <c r="A11">
        <v>2006</v>
      </c>
      <c r="B11" s="1">
        <v>2.5399999999999999E-2</v>
      </c>
      <c r="C11" s="1">
        <v>0.12</v>
      </c>
      <c r="D11" s="3">
        <v>1414</v>
      </c>
      <c r="E11" s="1">
        <v>4.4299999999999999E-2</v>
      </c>
      <c r="F11" s="1">
        <v>0.1958</v>
      </c>
      <c r="G11" s="1"/>
      <c r="H11">
        <v>7</v>
      </c>
      <c r="O11" t="s">
        <v>11</v>
      </c>
    </row>
    <row r="12" spans="1:18" x14ac:dyDescent="0.25">
      <c r="A12">
        <v>2007</v>
      </c>
      <c r="B12" s="1">
        <v>4.0800000000000003E-2</v>
      </c>
      <c r="C12" s="1">
        <v>5.21E-2</v>
      </c>
      <c r="D12" s="3">
        <v>1488</v>
      </c>
      <c r="E12" s="1">
        <v>3.4299999999999997E-2</v>
      </c>
      <c r="F12" s="1">
        <v>7.0000000000000007E-2</v>
      </c>
      <c r="G12" s="1"/>
      <c r="H12">
        <v>8</v>
      </c>
    </row>
    <row r="13" spans="1:18" x14ac:dyDescent="0.25">
      <c r="A13">
        <v>2008</v>
      </c>
      <c r="B13" s="1">
        <v>8.9999999999999998E-4</v>
      </c>
      <c r="C13" s="1">
        <v>-0.12859999999999999</v>
      </c>
      <c r="D13" s="3">
        <v>1297</v>
      </c>
      <c r="E13" s="1">
        <v>-1.4E-3</v>
      </c>
      <c r="F13" s="1">
        <v>-0.25569999999999998</v>
      </c>
      <c r="G13" s="1"/>
      <c r="H13">
        <v>9</v>
      </c>
    </row>
    <row r="14" spans="1:18" x14ac:dyDescent="0.25">
      <c r="A14">
        <v>2009</v>
      </c>
      <c r="B14" s="1">
        <v>2.7199999999999998E-2</v>
      </c>
      <c r="C14" s="1">
        <v>0.1598</v>
      </c>
      <c r="D14" s="3">
        <v>1504</v>
      </c>
      <c r="E14" s="1">
        <v>0.1022</v>
      </c>
      <c r="F14" s="1">
        <v>0.21740000000000001</v>
      </c>
      <c r="G14" s="1"/>
      <c r="H14">
        <v>10</v>
      </c>
    </row>
    <row r="15" spans="1:18" x14ac:dyDescent="0.25">
      <c r="A15">
        <v>2010</v>
      </c>
      <c r="B15" s="1">
        <v>1.4999999999999999E-2</v>
      </c>
      <c r="C15" s="1">
        <v>6.7799999999999999E-2</v>
      </c>
      <c r="D15" s="3">
        <v>1606</v>
      </c>
      <c r="E15" s="1">
        <v>2.1299999999999999E-2</v>
      </c>
      <c r="F15" s="1">
        <v>0.1142</v>
      </c>
      <c r="G15" s="1"/>
      <c r="H15">
        <v>11</v>
      </c>
    </row>
    <row r="16" spans="1:18" x14ac:dyDescent="0.25">
      <c r="A16">
        <v>2011</v>
      </c>
      <c r="B16" s="1">
        <v>2.9600000000000001E-2</v>
      </c>
      <c r="C16" s="1">
        <v>9.5200000000000007E-2</v>
      </c>
      <c r="D16" s="3">
        <v>1759</v>
      </c>
      <c r="E16" s="1">
        <v>9.6199999999999994E-2</v>
      </c>
      <c r="F16" s="1">
        <v>9.4299999999999995E-2</v>
      </c>
      <c r="G16" s="1"/>
      <c r="H16">
        <v>12</v>
      </c>
    </row>
    <row r="17" spans="1:8" x14ac:dyDescent="0.25">
      <c r="A17">
        <v>2012</v>
      </c>
      <c r="B17" s="1">
        <v>1.7399999999999999E-2</v>
      </c>
      <c r="C17" s="1">
        <v>8.0399999999999999E-2</v>
      </c>
      <c r="D17" s="3">
        <v>1900</v>
      </c>
      <c r="E17" s="1">
        <v>5.7000000000000002E-2</v>
      </c>
      <c r="F17" s="1">
        <v>0.10390000000000001</v>
      </c>
      <c r="G17" s="1"/>
      <c r="H17">
        <v>13</v>
      </c>
    </row>
    <row r="18" spans="1:8" x14ac:dyDescent="0.25">
      <c r="A18">
        <v>2013</v>
      </c>
      <c r="B18" s="1">
        <v>1.4999999999999999E-2</v>
      </c>
      <c r="C18" s="1">
        <v>0.14990000000000001</v>
      </c>
      <c r="D18" s="3">
        <v>2185</v>
      </c>
      <c r="E18" s="1">
        <v>-1.5599999999999999E-2</v>
      </c>
      <c r="F18" s="1">
        <v>0.31530000000000002</v>
      </c>
      <c r="G18" s="1"/>
      <c r="H18">
        <v>14</v>
      </c>
    </row>
    <row r="19" spans="1:8" x14ac:dyDescent="0.25">
      <c r="A19">
        <v>2014</v>
      </c>
      <c r="B19" s="1">
        <v>7.6E-3</v>
      </c>
      <c r="C19" s="1">
        <v>9.5500000000000002E-2</v>
      </c>
      <c r="D19" s="3">
        <v>2393</v>
      </c>
      <c r="E19" s="1">
        <v>7.2499999999999995E-2</v>
      </c>
      <c r="F19" s="1">
        <v>0.11849999999999999</v>
      </c>
      <c r="G19" s="1"/>
      <c r="H19">
        <v>15</v>
      </c>
    </row>
    <row r="20" spans="1:8" x14ac:dyDescent="0.25">
      <c r="A20">
        <v>2015</v>
      </c>
      <c r="B20" s="1">
        <v>7.3000000000000001E-3</v>
      </c>
      <c r="C20" s="1">
        <v>2.7400000000000001E-2</v>
      </c>
      <c r="D20" s="3">
        <v>2459</v>
      </c>
      <c r="E20" s="1">
        <v>2.86E-2</v>
      </c>
      <c r="F20" s="1">
        <v>2.6200000000000001E-2</v>
      </c>
      <c r="G20" s="1"/>
      <c r="H20">
        <v>16</v>
      </c>
    </row>
    <row r="21" spans="1:8" x14ac:dyDescent="0.25">
      <c r="A21">
        <v>2016</v>
      </c>
      <c r="B21" s="1">
        <v>2.07E-2</v>
      </c>
      <c r="C21" s="1">
        <v>3.8100000000000002E-2</v>
      </c>
      <c r="D21" s="3">
        <v>2553</v>
      </c>
      <c r="E21" s="1">
        <v>8.0000000000000004E-4</v>
      </c>
      <c r="F21" s="1">
        <v>7.5300000000000006E-2</v>
      </c>
      <c r="G21" s="1"/>
      <c r="H21">
        <v>17</v>
      </c>
    </row>
    <row r="22" spans="1:8" x14ac:dyDescent="0.25">
      <c r="A22">
        <v>2017</v>
      </c>
      <c r="B22" s="1">
        <v>2.1100000000000001E-2</v>
      </c>
      <c r="C22" s="1">
        <v>0.1193</v>
      </c>
      <c r="D22" s="3">
        <v>2857</v>
      </c>
      <c r="E22" s="1">
        <v>4.53E-2</v>
      </c>
      <c r="F22" s="1">
        <v>0.1933</v>
      </c>
      <c r="G22" s="1"/>
      <c r="H22">
        <v>18</v>
      </c>
    </row>
    <row r="23" spans="1:8" x14ac:dyDescent="0.25">
      <c r="A23">
        <v>2018</v>
      </c>
      <c r="B23" s="1">
        <v>1.9099999999999999E-2</v>
      </c>
      <c r="C23" s="1">
        <v>7.1999999999999998E-3</v>
      </c>
      <c r="D23" s="3">
        <v>2878</v>
      </c>
      <c r="E23" s="1">
        <v>1.2500000000000001E-2</v>
      </c>
      <c r="F23" s="1">
        <v>1.8E-3</v>
      </c>
      <c r="G23" s="1"/>
      <c r="H23">
        <v>19</v>
      </c>
    </row>
    <row r="24" spans="1:8" x14ac:dyDescent="0.25">
      <c r="A24">
        <v>2019</v>
      </c>
      <c r="B24" s="1">
        <v>2.29E-2</v>
      </c>
      <c r="C24" s="1">
        <v>0.18859999999999999</v>
      </c>
      <c r="D24" s="3">
        <v>3421</v>
      </c>
      <c r="E24" s="1">
        <v>6.7799999999999999E-2</v>
      </c>
      <c r="F24" s="1">
        <v>0.3095</v>
      </c>
      <c r="G24" s="1"/>
      <c r="H24">
        <v>20</v>
      </c>
    </row>
    <row r="27" spans="1:8" x14ac:dyDescent="0.25">
      <c r="A27" t="s">
        <v>0</v>
      </c>
      <c r="B27" t="s">
        <v>18</v>
      </c>
      <c r="C27" t="s">
        <v>2</v>
      </c>
      <c r="D27" t="s">
        <v>3</v>
      </c>
      <c r="E27" t="s">
        <v>35</v>
      </c>
      <c r="F27" t="s">
        <v>56</v>
      </c>
    </row>
    <row r="28" spans="1:8" x14ac:dyDescent="0.25">
      <c r="A28" t="s">
        <v>20</v>
      </c>
    </row>
    <row r="30" spans="1:8" x14ac:dyDescent="0.25">
      <c r="A30">
        <v>2008</v>
      </c>
      <c r="B30">
        <v>1</v>
      </c>
      <c r="C30" s="1">
        <v>-1.9099999999999999E-2</v>
      </c>
      <c r="D30" s="3">
        <v>192839</v>
      </c>
      <c r="E30" s="1">
        <v>1.6299999999999999E-2</v>
      </c>
      <c r="F30" s="1">
        <v>-5.4600000000000003E-2</v>
      </c>
      <c r="G30" s="1"/>
    </row>
    <row r="31" spans="1:8" x14ac:dyDescent="0.25">
      <c r="A31">
        <v>2008</v>
      </c>
      <c r="B31">
        <v>2</v>
      </c>
      <c r="C31" s="1">
        <v>-2.7799999999999998E-2</v>
      </c>
      <c r="D31" s="3">
        <v>184139</v>
      </c>
      <c r="E31" s="1">
        <v>-4.0800000000000003E-2</v>
      </c>
      <c r="F31" s="1">
        <v>-1.3899999999999999E-2</v>
      </c>
      <c r="G31" s="1"/>
    </row>
    <row r="32" spans="1:8" x14ac:dyDescent="0.25">
      <c r="A32">
        <v>2008</v>
      </c>
      <c r="B32">
        <v>3</v>
      </c>
      <c r="C32" s="1">
        <v>1.7500000000000002E-2</v>
      </c>
      <c r="D32" s="3">
        <v>184029</v>
      </c>
      <c r="E32" s="1">
        <v>2.6200000000000001E-2</v>
      </c>
      <c r="F32" s="1">
        <v>8.5000000000000006E-3</v>
      </c>
      <c r="G32" s="1"/>
    </row>
    <row r="33" spans="1:7" x14ac:dyDescent="0.25">
      <c r="A33">
        <v>2008</v>
      </c>
      <c r="B33">
        <v>4</v>
      </c>
      <c r="C33" s="1">
        <v>2.1700000000000001E-2</v>
      </c>
      <c r="D33" s="3">
        <v>184698</v>
      </c>
      <c r="E33" s="1">
        <v>8.6999999999999994E-3</v>
      </c>
      <c r="F33" s="1">
        <v>3.5700000000000003E-2</v>
      </c>
      <c r="G33" s="1"/>
    </row>
    <row r="34" spans="1:7" x14ac:dyDescent="0.25">
      <c r="A34">
        <v>2008</v>
      </c>
      <c r="B34">
        <v>5</v>
      </c>
      <c r="C34" s="1">
        <v>1.2200000000000001E-2</v>
      </c>
      <c r="D34" s="3">
        <v>183615</v>
      </c>
      <c r="E34" s="1">
        <v>5.7000000000000002E-3</v>
      </c>
      <c r="F34" s="1">
        <v>1.89E-2</v>
      </c>
      <c r="G34" s="1"/>
    </row>
    <row r="35" spans="1:7" x14ac:dyDescent="0.25">
      <c r="A35">
        <v>2008</v>
      </c>
      <c r="B35">
        <v>6</v>
      </c>
      <c r="C35" s="1">
        <v>-3.6999999999999998E-2</v>
      </c>
      <c r="D35" s="3">
        <v>173491</v>
      </c>
      <c r="E35" s="1">
        <v>-1.03E-2</v>
      </c>
      <c r="F35" s="1">
        <v>-6.4299999999999996E-2</v>
      </c>
      <c r="G35" s="1"/>
    </row>
    <row r="36" spans="1:7" x14ac:dyDescent="0.25">
      <c r="A36">
        <v>2008</v>
      </c>
      <c r="B36">
        <v>7</v>
      </c>
      <c r="C36" s="1">
        <v>5.0000000000000001E-3</v>
      </c>
      <c r="D36" s="3">
        <v>171032</v>
      </c>
      <c r="E36" s="1">
        <v>5.7000000000000002E-3</v>
      </c>
      <c r="F36" s="1">
        <v>4.3E-3</v>
      </c>
      <c r="G36" s="1"/>
    </row>
    <row r="37" spans="1:7" x14ac:dyDescent="0.25">
      <c r="A37">
        <v>2008</v>
      </c>
      <c r="B37">
        <v>8</v>
      </c>
      <c r="C37" s="1">
        <v>1.67E-2</v>
      </c>
      <c r="D37" s="3">
        <v>170561</v>
      </c>
      <c r="E37" s="1">
        <v>1.18E-2</v>
      </c>
      <c r="F37" s="1">
        <v>2.2100000000000002E-2</v>
      </c>
      <c r="G37" s="1"/>
    </row>
    <row r="38" spans="1:7" x14ac:dyDescent="0.25">
      <c r="A38">
        <v>2008</v>
      </c>
      <c r="B38">
        <v>9</v>
      </c>
      <c r="C38" s="1">
        <v>-4.82E-2</v>
      </c>
      <c r="D38" s="3">
        <v>159011</v>
      </c>
      <c r="E38" s="1">
        <v>-3.9199999999999999E-2</v>
      </c>
      <c r="F38" s="1">
        <v>-5.7799999999999997E-2</v>
      </c>
      <c r="G38" s="1"/>
    </row>
    <row r="39" spans="1:7" x14ac:dyDescent="0.25">
      <c r="A39">
        <v>2008</v>
      </c>
      <c r="B39">
        <v>10</v>
      </c>
      <c r="C39" s="1">
        <v>-7.0000000000000007E-2</v>
      </c>
      <c r="D39" s="3">
        <v>144546</v>
      </c>
      <c r="E39" s="1">
        <v>1.1999999999999999E-3</v>
      </c>
      <c r="F39" s="1">
        <v>-0.1479</v>
      </c>
      <c r="G39" s="1"/>
    </row>
    <row r="40" spans="1:7" x14ac:dyDescent="0.25">
      <c r="A40">
        <v>2008</v>
      </c>
      <c r="B40">
        <v>11</v>
      </c>
      <c r="C40" s="1">
        <v>-1.4500000000000001E-2</v>
      </c>
      <c r="D40" s="3">
        <v>139110</v>
      </c>
      <c r="E40" s="1">
        <v>1.8E-3</v>
      </c>
      <c r="F40" s="1">
        <v>-3.56E-2</v>
      </c>
      <c r="G40" s="1"/>
    </row>
    <row r="41" spans="1:7" x14ac:dyDescent="0.25">
      <c r="A41">
        <v>2008</v>
      </c>
      <c r="B41">
        <v>12</v>
      </c>
      <c r="C41" s="1">
        <v>1.17E-2</v>
      </c>
      <c r="D41" s="3">
        <v>137407</v>
      </c>
      <c r="E41" s="1">
        <v>1.3899999999999999E-2</v>
      </c>
      <c r="F41" s="1">
        <v>8.8000000000000005E-3</v>
      </c>
      <c r="G41" s="1"/>
    </row>
    <row r="42" spans="1:7" x14ac:dyDescent="0.25">
      <c r="A42">
        <v>2009</v>
      </c>
      <c r="B42">
        <v>1</v>
      </c>
      <c r="C42" s="1">
        <v>-1.11E-2</v>
      </c>
      <c r="D42" s="3">
        <v>132546</v>
      </c>
      <c r="E42" s="1">
        <v>3.73E-2</v>
      </c>
      <c r="F42" s="1">
        <v>-5.96E-2</v>
      </c>
      <c r="G42" s="1"/>
    </row>
    <row r="43" spans="1:7" x14ac:dyDescent="0.25">
      <c r="A43">
        <v>2009</v>
      </c>
      <c r="B43">
        <v>2</v>
      </c>
      <c r="C43" s="1">
        <v>-4.6199999999999998E-2</v>
      </c>
      <c r="D43" s="3">
        <v>123088</v>
      </c>
      <c r="E43" s="1">
        <v>-4.5999999999999999E-3</v>
      </c>
      <c r="F43" s="1">
        <v>-9.2100000000000001E-2</v>
      </c>
      <c r="G43" s="1"/>
    </row>
    <row r="44" spans="1:7" x14ac:dyDescent="0.25">
      <c r="A44">
        <v>2009</v>
      </c>
      <c r="B44">
        <v>3</v>
      </c>
      <c r="C44" s="1">
        <v>3.2399999999999998E-2</v>
      </c>
      <c r="D44" s="3">
        <v>123744</v>
      </c>
      <c r="E44" s="1">
        <v>-2E-3</v>
      </c>
      <c r="F44" s="1">
        <v>7.3999999999999996E-2</v>
      </c>
      <c r="G44" s="1"/>
    </row>
    <row r="45" spans="1:7" x14ac:dyDescent="0.25">
      <c r="A45">
        <v>2009</v>
      </c>
      <c r="B45">
        <v>4</v>
      </c>
      <c r="C45" s="1">
        <v>3.6799999999999999E-2</v>
      </c>
      <c r="D45" s="3">
        <v>124969</v>
      </c>
      <c r="E45" s="1">
        <v>1.7899999999999999E-2</v>
      </c>
      <c r="F45" s="1">
        <v>5.8099999999999999E-2</v>
      </c>
      <c r="G45" s="1"/>
    </row>
    <row r="46" spans="1:7" x14ac:dyDescent="0.25">
      <c r="A46">
        <v>2009</v>
      </c>
      <c r="B46">
        <v>5</v>
      </c>
      <c r="C46" s="1">
        <v>3.04E-2</v>
      </c>
      <c r="D46" s="3">
        <v>125436</v>
      </c>
      <c r="E46" s="1">
        <v>8.6E-3</v>
      </c>
      <c r="F46" s="1">
        <v>5.3999999999999999E-2</v>
      </c>
      <c r="G46" s="1"/>
    </row>
    <row r="47" spans="1:7" x14ac:dyDescent="0.25">
      <c r="A47">
        <v>2009</v>
      </c>
      <c r="B47">
        <v>6</v>
      </c>
      <c r="C47" s="1">
        <v>-9.1999999999999998E-3</v>
      </c>
      <c r="D47" s="3">
        <v>120952</v>
      </c>
      <c r="E47" s="1">
        <v>-9.7000000000000003E-3</v>
      </c>
      <c r="F47" s="1">
        <v>-8.6999999999999994E-3</v>
      </c>
      <c r="G47" s="1"/>
    </row>
    <row r="48" spans="1:7" x14ac:dyDescent="0.25">
      <c r="A48">
        <v>2009</v>
      </c>
      <c r="B48">
        <v>7</v>
      </c>
      <c r="C48" s="1">
        <v>3.39E-2</v>
      </c>
      <c r="D48" s="3">
        <v>121721</v>
      </c>
      <c r="E48" s="1">
        <v>1.7899999999999999E-2</v>
      </c>
      <c r="F48" s="1">
        <v>5.0500000000000003E-2</v>
      </c>
      <c r="G48" s="1"/>
    </row>
    <row r="49" spans="1:7" x14ac:dyDescent="0.25">
      <c r="A49">
        <v>2009</v>
      </c>
      <c r="B49">
        <v>8</v>
      </c>
      <c r="C49" s="1">
        <v>2.0799999999999999E-2</v>
      </c>
      <c r="D49" s="3">
        <v>120915</v>
      </c>
      <c r="E49" s="1">
        <v>1.23E-2</v>
      </c>
      <c r="F49" s="1">
        <v>2.92E-2</v>
      </c>
      <c r="G49" s="1"/>
    </row>
    <row r="50" spans="1:7" x14ac:dyDescent="0.25">
      <c r="A50">
        <v>2009</v>
      </c>
      <c r="B50">
        <v>9</v>
      </c>
      <c r="C50" s="1">
        <v>3.2099999999999997E-2</v>
      </c>
      <c r="D50" s="3">
        <v>121467</v>
      </c>
      <c r="E50" s="1">
        <v>0.03</v>
      </c>
      <c r="F50" s="1">
        <v>3.4200000000000001E-2</v>
      </c>
      <c r="G50" s="1"/>
    </row>
    <row r="51" spans="1:7" x14ac:dyDescent="0.25">
      <c r="A51">
        <v>2009</v>
      </c>
      <c r="B51">
        <v>10</v>
      </c>
      <c r="C51" s="1">
        <v>-1.12E-2</v>
      </c>
      <c r="D51" s="3">
        <v>116778</v>
      </c>
      <c r="E51" s="1">
        <v>-2.1700000000000001E-2</v>
      </c>
      <c r="F51" s="1">
        <v>-8.0000000000000004E-4</v>
      </c>
      <c r="G51" s="1"/>
    </row>
    <row r="52" spans="1:7" x14ac:dyDescent="0.25">
      <c r="A52">
        <v>2009</v>
      </c>
      <c r="B52">
        <v>11</v>
      </c>
      <c r="C52" s="1">
        <v>3.9300000000000002E-2</v>
      </c>
      <c r="D52" s="3">
        <v>118033</v>
      </c>
      <c r="E52" s="1">
        <v>1.1299999999999999E-2</v>
      </c>
      <c r="F52" s="1">
        <v>6.6199999999999995E-2</v>
      </c>
      <c r="G52" s="1"/>
    </row>
    <row r="53" spans="1:7" x14ac:dyDescent="0.25">
      <c r="A53">
        <v>2009</v>
      </c>
      <c r="B53">
        <v>12</v>
      </c>
      <c r="C53" s="1">
        <v>5.1000000000000004E-3</v>
      </c>
      <c r="D53" s="3">
        <v>115304</v>
      </c>
      <c r="E53" s="1">
        <v>1.6999999999999999E-3</v>
      </c>
      <c r="F53" s="1">
        <v>8.2000000000000007E-3</v>
      </c>
      <c r="G53" s="1"/>
    </row>
    <row r="54" spans="1:7" x14ac:dyDescent="0.25">
      <c r="A54">
        <v>2010</v>
      </c>
      <c r="B54">
        <v>1</v>
      </c>
      <c r="C54" s="1">
        <v>-1.06E-2</v>
      </c>
      <c r="D54" s="3">
        <v>110750</v>
      </c>
      <c r="E54" s="1">
        <v>5.4000000000000003E-3</v>
      </c>
      <c r="F54" s="1">
        <v>-2.6599999999999999E-2</v>
      </c>
      <c r="G54" s="1"/>
    </row>
    <row r="55" spans="1:7" x14ac:dyDescent="0.25">
      <c r="A55">
        <v>2010</v>
      </c>
      <c r="B55">
        <v>2</v>
      </c>
      <c r="C55" s="1">
        <v>1.2500000000000001E-2</v>
      </c>
      <c r="D55" s="3">
        <v>108802</v>
      </c>
      <c r="E55" s="1">
        <v>9.4999999999999998E-3</v>
      </c>
      <c r="F55" s="1">
        <v>1.5599999999999999E-2</v>
      </c>
      <c r="G55" s="1"/>
    </row>
    <row r="56" spans="1:7" x14ac:dyDescent="0.25">
      <c r="A56">
        <v>2010</v>
      </c>
      <c r="B56">
        <v>3</v>
      </c>
      <c r="C56" s="1">
        <v>1.7999999999999999E-2</v>
      </c>
      <c r="D56" s="3">
        <v>107423</v>
      </c>
      <c r="E56" s="1">
        <v>-7.1999999999999998E-3</v>
      </c>
      <c r="F56" s="1">
        <v>4.3799999999999999E-2</v>
      </c>
      <c r="G56" s="1"/>
    </row>
    <row r="57" spans="1:7" x14ac:dyDescent="0.25">
      <c r="A57">
        <v>2010</v>
      </c>
      <c r="B57">
        <v>4</v>
      </c>
      <c r="C57" s="1">
        <v>1.34E-2</v>
      </c>
      <c r="D57" s="3">
        <v>105527</v>
      </c>
      <c r="E57" s="1">
        <v>1.0500000000000001E-2</v>
      </c>
      <c r="F57" s="1">
        <v>1.6199999999999999E-2</v>
      </c>
      <c r="G57" s="1"/>
    </row>
    <row r="58" spans="1:7" x14ac:dyDescent="0.25">
      <c r="A58">
        <v>2010</v>
      </c>
      <c r="B58">
        <v>5</v>
      </c>
      <c r="C58" s="1">
        <v>-3.49E-2</v>
      </c>
      <c r="D58" s="3">
        <v>98516</v>
      </c>
      <c r="E58" s="1">
        <v>7.6E-3</v>
      </c>
      <c r="F58" s="1">
        <v>-7.5999999999999998E-2</v>
      </c>
      <c r="G58" s="1"/>
    </row>
    <row r="59" spans="1:7" x14ac:dyDescent="0.25">
      <c r="A59">
        <v>2010</v>
      </c>
      <c r="B59">
        <v>6</v>
      </c>
      <c r="C59" s="1">
        <v>-1.9099999999999999E-2</v>
      </c>
      <c r="D59" s="3">
        <v>93300</v>
      </c>
      <c r="E59" s="1">
        <v>1E-4</v>
      </c>
      <c r="F59" s="1">
        <v>-3.9399999999999998E-2</v>
      </c>
      <c r="G59" s="1"/>
    </row>
    <row r="60" spans="1:7" x14ac:dyDescent="0.25">
      <c r="A60">
        <v>2010</v>
      </c>
      <c r="B60">
        <v>7</v>
      </c>
      <c r="C60" s="1">
        <v>3.5999999999999997E-2</v>
      </c>
      <c r="D60" s="3">
        <v>93329</v>
      </c>
      <c r="E60" s="1">
        <v>1.34E-2</v>
      </c>
      <c r="F60" s="1">
        <v>6.0999999999999999E-2</v>
      </c>
      <c r="G60" s="1"/>
    </row>
    <row r="61" spans="1:7" x14ac:dyDescent="0.25">
      <c r="A61">
        <v>2010</v>
      </c>
      <c r="B61">
        <v>8</v>
      </c>
      <c r="C61" s="1">
        <v>-3.8999999999999998E-3</v>
      </c>
      <c r="D61" s="3">
        <v>89634</v>
      </c>
      <c r="E61" s="1">
        <v>2.3400000000000001E-2</v>
      </c>
      <c r="F61" s="1">
        <v>-3.2599999999999997E-2</v>
      </c>
      <c r="G61" s="1"/>
    </row>
    <row r="62" spans="1:7" x14ac:dyDescent="0.25">
      <c r="A62">
        <v>2010</v>
      </c>
      <c r="B62">
        <v>9</v>
      </c>
      <c r="C62" s="1">
        <v>3.5299999999999998E-2</v>
      </c>
      <c r="D62" s="3">
        <v>89468</v>
      </c>
      <c r="E62" s="1">
        <v>-4.3E-3</v>
      </c>
      <c r="F62" s="1">
        <v>7.9500000000000001E-2</v>
      </c>
      <c r="G62" s="1"/>
    </row>
    <row r="63" spans="1:7" x14ac:dyDescent="0.25">
      <c r="A63">
        <v>2010</v>
      </c>
      <c r="B63">
        <v>10</v>
      </c>
      <c r="C63" s="1">
        <v>1.18E-2</v>
      </c>
      <c r="D63" s="3">
        <v>87189</v>
      </c>
      <c r="E63" s="1">
        <v>-3.5000000000000001E-3</v>
      </c>
      <c r="F63" s="1">
        <v>2.75E-2</v>
      </c>
      <c r="G63" s="1"/>
    </row>
    <row r="64" spans="1:7" x14ac:dyDescent="0.25">
      <c r="A64">
        <v>2010</v>
      </c>
      <c r="B64">
        <v>11</v>
      </c>
      <c r="C64" s="1">
        <v>-1.12E-2</v>
      </c>
      <c r="D64" s="3">
        <v>82876</v>
      </c>
      <c r="E64" s="1">
        <v>-1.7399999999999999E-2</v>
      </c>
      <c r="F64" s="1">
        <v>-5.1000000000000004E-3</v>
      </c>
      <c r="G64" s="1"/>
    </row>
    <row r="65" spans="1:7" x14ac:dyDescent="0.25">
      <c r="A65">
        <v>2010</v>
      </c>
      <c r="B65">
        <v>12</v>
      </c>
      <c r="C65" s="1">
        <v>2.1100000000000001E-2</v>
      </c>
      <c r="D65" s="3">
        <v>81288</v>
      </c>
      <c r="E65" s="1">
        <v>-1.54E-2</v>
      </c>
      <c r="F65" s="1">
        <v>5.6899999999999999E-2</v>
      </c>
      <c r="G65" s="1"/>
    </row>
    <row r="66" spans="1:7" x14ac:dyDescent="0.25">
      <c r="A66">
        <v>2011</v>
      </c>
      <c r="B66">
        <v>1</v>
      </c>
      <c r="C66" s="1">
        <v>7.1000000000000004E-3</v>
      </c>
      <c r="D66" s="3">
        <v>78536</v>
      </c>
      <c r="E66" s="1">
        <v>-6.6E-3</v>
      </c>
      <c r="F66" s="1">
        <v>2.0899999999999998E-2</v>
      </c>
      <c r="G66" s="1"/>
    </row>
    <row r="67" spans="1:7" x14ac:dyDescent="0.25">
      <c r="A67">
        <v>2011</v>
      </c>
      <c r="B67">
        <v>2</v>
      </c>
      <c r="C67" s="1">
        <v>1.9199999999999998E-2</v>
      </c>
      <c r="D67" s="3">
        <v>76711</v>
      </c>
      <c r="E67" s="1">
        <v>1.5100000000000001E-2</v>
      </c>
      <c r="F67" s="1">
        <v>2.3199999999999998E-2</v>
      </c>
      <c r="G67" s="1"/>
    </row>
    <row r="68" spans="1:7" x14ac:dyDescent="0.25">
      <c r="A68">
        <v>2011</v>
      </c>
      <c r="B68">
        <v>3</v>
      </c>
      <c r="C68" s="1">
        <v>6.9999999999999999E-4</v>
      </c>
      <c r="D68" s="3">
        <v>73429</v>
      </c>
      <c r="E68" s="1">
        <v>-2.8E-3</v>
      </c>
      <c r="F68" s="1">
        <v>4.0000000000000001E-3</v>
      </c>
      <c r="G68" s="1"/>
    </row>
    <row r="69" spans="1:7" x14ac:dyDescent="0.25">
      <c r="A69">
        <v>2011</v>
      </c>
      <c r="B69">
        <v>4</v>
      </c>
      <c r="C69" s="1">
        <v>2.6499999999999999E-2</v>
      </c>
      <c r="D69" s="3">
        <v>72039</v>
      </c>
      <c r="E69" s="1">
        <v>1.6E-2</v>
      </c>
      <c r="F69" s="1">
        <v>3.6499999999999998E-2</v>
      </c>
      <c r="G69" s="1"/>
    </row>
    <row r="70" spans="1:7" x14ac:dyDescent="0.25">
      <c r="A70">
        <v>2011</v>
      </c>
      <c r="B70">
        <v>5</v>
      </c>
      <c r="C70" s="1">
        <v>8.3000000000000001E-3</v>
      </c>
      <c r="D70" s="3">
        <v>69305</v>
      </c>
      <c r="E70" s="1">
        <v>1.5100000000000001E-2</v>
      </c>
      <c r="F70" s="1">
        <v>1.9E-3</v>
      </c>
      <c r="G70" s="1"/>
    </row>
    <row r="71" spans="1:7" x14ac:dyDescent="0.25">
      <c r="A71">
        <v>2011</v>
      </c>
      <c r="B71">
        <v>6</v>
      </c>
      <c r="C71" s="1">
        <v>-1.9E-3</v>
      </c>
      <c r="D71" s="3">
        <v>65839</v>
      </c>
      <c r="E71" s="1">
        <v>3.0000000000000001E-3</v>
      </c>
      <c r="F71" s="1">
        <v>-6.6E-3</v>
      </c>
      <c r="G71" s="1"/>
    </row>
    <row r="72" spans="1:7" x14ac:dyDescent="0.25">
      <c r="A72">
        <v>2011</v>
      </c>
      <c r="B72">
        <v>7</v>
      </c>
      <c r="C72" s="1">
        <v>-1.0800000000000001E-2</v>
      </c>
      <c r="D72" s="3">
        <v>61795</v>
      </c>
      <c r="E72" s="1">
        <v>9.7000000000000003E-3</v>
      </c>
      <c r="F72" s="1">
        <v>-3.0499999999999999E-2</v>
      </c>
      <c r="G72" s="1"/>
    </row>
    <row r="73" spans="1:7" x14ac:dyDescent="0.25">
      <c r="A73">
        <v>2011</v>
      </c>
      <c r="B73">
        <v>8</v>
      </c>
      <c r="C73" s="1">
        <v>-5.7000000000000002E-3</v>
      </c>
      <c r="D73" s="3">
        <v>58110</v>
      </c>
      <c r="E73" s="1">
        <v>1.4E-2</v>
      </c>
      <c r="F73" s="1">
        <v>-2.5499999999999998E-2</v>
      </c>
      <c r="G73" s="1"/>
    </row>
    <row r="74" spans="1:7" x14ac:dyDescent="0.25">
      <c r="A74">
        <v>2011</v>
      </c>
      <c r="B74">
        <v>9</v>
      </c>
      <c r="C74" s="1">
        <v>-1.7899999999999999E-2</v>
      </c>
      <c r="D74" s="3">
        <v>53738</v>
      </c>
      <c r="E74" s="1">
        <v>6.4999999999999997E-3</v>
      </c>
      <c r="F74" s="1">
        <v>-4.3299999999999998E-2</v>
      </c>
      <c r="G74" s="1"/>
    </row>
    <row r="75" spans="1:7" x14ac:dyDescent="0.25">
      <c r="A75">
        <v>2011</v>
      </c>
      <c r="B75">
        <v>10</v>
      </c>
      <c r="C75" s="1">
        <v>3.8899999999999997E-2</v>
      </c>
      <c r="D75" s="3">
        <v>52496</v>
      </c>
      <c r="E75" s="1">
        <v>-3.5999999999999999E-3</v>
      </c>
      <c r="F75" s="1">
        <v>8.5500000000000007E-2</v>
      </c>
      <c r="G75" s="1"/>
    </row>
    <row r="76" spans="1:7" x14ac:dyDescent="0.25">
      <c r="A76">
        <v>2011</v>
      </c>
      <c r="B76">
        <v>11</v>
      </c>
      <c r="C76" s="1">
        <v>9.4999999999999998E-3</v>
      </c>
      <c r="D76" s="3">
        <v>49662</v>
      </c>
      <c r="E76" s="1">
        <v>6.4999999999999997E-3</v>
      </c>
      <c r="F76" s="1">
        <v>1.26E-2</v>
      </c>
      <c r="G76" s="1"/>
    </row>
    <row r="77" spans="1:7" x14ac:dyDescent="0.25">
      <c r="A77">
        <v>2011</v>
      </c>
      <c r="B77">
        <v>12</v>
      </c>
      <c r="C77" s="1">
        <v>1.8800000000000001E-2</v>
      </c>
      <c r="D77" s="3">
        <v>47265</v>
      </c>
      <c r="E77" s="1">
        <v>1.9599999999999999E-2</v>
      </c>
      <c r="F77" s="1">
        <v>1.8100000000000002E-2</v>
      </c>
      <c r="G77" s="1"/>
    </row>
    <row r="78" spans="1:7" s="18" customFormat="1" x14ac:dyDescent="0.25">
      <c r="A78" s="18">
        <v>2012</v>
      </c>
      <c r="B78" s="18">
        <v>1</v>
      </c>
      <c r="C78" s="19">
        <v>2.3699999999999999E-2</v>
      </c>
      <c r="D78" s="20">
        <v>45050</v>
      </c>
      <c r="E78" s="19">
        <v>2.1999999999999999E-2</v>
      </c>
      <c r="F78" s="19">
        <v>2.53E-2</v>
      </c>
      <c r="G78" s="19"/>
    </row>
    <row r="79" spans="1:7" x14ac:dyDescent="0.25">
      <c r="A79">
        <v>2012</v>
      </c>
      <c r="B79">
        <v>2</v>
      </c>
      <c r="C79" s="1">
        <v>1.32E-2</v>
      </c>
      <c r="D79" s="3">
        <v>42310</v>
      </c>
      <c r="E79" s="1">
        <v>-2.9999999999999997E-4</v>
      </c>
      <c r="F79" s="1">
        <v>2.6599999999999999E-2</v>
      </c>
      <c r="G79" s="1"/>
    </row>
    <row r="80" spans="1:7" x14ac:dyDescent="0.25">
      <c r="A80">
        <v>2012</v>
      </c>
      <c r="B80">
        <v>3</v>
      </c>
      <c r="C80" s="1">
        <v>7.0000000000000001E-3</v>
      </c>
      <c r="D80" s="3">
        <v>39274</v>
      </c>
      <c r="E80" s="1">
        <v>-9.1999999999999998E-3</v>
      </c>
      <c r="F80" s="1">
        <v>2.2800000000000001E-2</v>
      </c>
      <c r="G80" s="1"/>
    </row>
    <row r="81" spans="1:7" x14ac:dyDescent="0.25">
      <c r="A81">
        <v>2012</v>
      </c>
      <c r="B81">
        <v>4</v>
      </c>
      <c r="C81" s="1">
        <v>5.4000000000000003E-3</v>
      </c>
      <c r="D81" s="3">
        <v>36153</v>
      </c>
      <c r="E81" s="1">
        <v>1.12E-2</v>
      </c>
      <c r="F81" s="1">
        <v>0</v>
      </c>
      <c r="G81" s="1"/>
    </row>
    <row r="82" spans="1:7" x14ac:dyDescent="0.25">
      <c r="A82">
        <v>2012</v>
      </c>
      <c r="B82">
        <v>5</v>
      </c>
      <c r="C82" s="1">
        <v>-2.29E-2</v>
      </c>
      <c r="D82" s="3">
        <v>31993</v>
      </c>
      <c r="E82" s="1">
        <v>6.8999999999999999E-3</v>
      </c>
      <c r="F82" s="1">
        <v>-5.1200000000000002E-2</v>
      </c>
      <c r="G82" s="1"/>
    </row>
    <row r="83" spans="1:7" x14ac:dyDescent="0.25">
      <c r="A83">
        <v>2012</v>
      </c>
      <c r="B83">
        <v>6</v>
      </c>
      <c r="C83" s="1">
        <v>1.95E-2</v>
      </c>
      <c r="D83" s="3">
        <v>29282</v>
      </c>
      <c r="E83" s="1">
        <v>-1.6999999999999999E-3</v>
      </c>
      <c r="F83" s="1">
        <v>4.0800000000000003E-2</v>
      </c>
      <c r="G83" s="1"/>
    </row>
    <row r="84" spans="1:7" x14ac:dyDescent="0.25">
      <c r="A84">
        <v>2012</v>
      </c>
      <c r="B84">
        <v>7</v>
      </c>
      <c r="C84" s="1">
        <v>1.18E-2</v>
      </c>
      <c r="D84" s="3">
        <v>26296</v>
      </c>
      <c r="E84" s="1">
        <v>1.3899999999999999E-2</v>
      </c>
      <c r="F84" s="1">
        <v>9.9000000000000008E-3</v>
      </c>
      <c r="G84" s="1"/>
    </row>
    <row r="85" spans="1:7" x14ac:dyDescent="0.25">
      <c r="A85">
        <v>2012</v>
      </c>
      <c r="B85">
        <v>8</v>
      </c>
      <c r="C85" s="1">
        <v>8.6999999999999994E-3</v>
      </c>
      <c r="D85" s="3">
        <v>23191</v>
      </c>
      <c r="E85" s="1">
        <v>1.8E-3</v>
      </c>
      <c r="F85" s="1">
        <v>1.5299999999999999E-2</v>
      </c>
      <c r="G85" s="1"/>
    </row>
    <row r="86" spans="1:7" x14ac:dyDescent="0.25">
      <c r="A86">
        <v>2012</v>
      </c>
      <c r="B86">
        <v>9</v>
      </c>
      <c r="C86" s="1">
        <v>1.18E-2</v>
      </c>
      <c r="D86" s="3">
        <v>20132</v>
      </c>
      <c r="E86" s="1">
        <v>6.6E-3</v>
      </c>
      <c r="F86" s="1">
        <v>1.6799999999999999E-2</v>
      </c>
      <c r="G86" s="1"/>
    </row>
    <row r="87" spans="1:7" x14ac:dyDescent="0.25">
      <c r="A87">
        <v>2012</v>
      </c>
      <c r="B87">
        <v>10</v>
      </c>
      <c r="C87" s="1">
        <v>-5.1999999999999998E-3</v>
      </c>
      <c r="D87" s="3">
        <v>16695</v>
      </c>
      <c r="E87" s="1">
        <v>1.8E-3</v>
      </c>
      <c r="F87" s="1">
        <v>-1.18E-2</v>
      </c>
      <c r="G87" s="1"/>
    </row>
    <row r="88" spans="1:7" x14ac:dyDescent="0.25">
      <c r="A88">
        <v>2012</v>
      </c>
      <c r="B88">
        <v>11</v>
      </c>
      <c r="C88" s="1">
        <v>8.5000000000000006E-3</v>
      </c>
      <c r="D88" s="3">
        <v>13505</v>
      </c>
      <c r="E88" s="1">
        <v>1.49E-2</v>
      </c>
      <c r="F88" s="1">
        <v>2.3999999999999998E-3</v>
      </c>
      <c r="G88" s="1"/>
    </row>
    <row r="89" spans="1:7" x14ac:dyDescent="0.25">
      <c r="A89" s="10">
        <v>2012</v>
      </c>
      <c r="B89" s="10">
        <v>12</v>
      </c>
      <c r="C89" s="11">
        <v>-3.0999999999999999E-3</v>
      </c>
      <c r="D89" s="14">
        <v>10130</v>
      </c>
      <c r="E89" s="11">
        <v>-1.1900000000000001E-2</v>
      </c>
      <c r="F89" s="11">
        <v>5.4999999999999997E-3</v>
      </c>
      <c r="G89" s="19"/>
    </row>
    <row r="90" spans="1:7" x14ac:dyDescent="0.25">
      <c r="C90" s="1"/>
      <c r="D90" s="3"/>
      <c r="E90" s="1"/>
      <c r="F90" s="1"/>
      <c r="G90" s="1"/>
    </row>
    <row r="91" spans="1:7" x14ac:dyDescent="0.25">
      <c r="A91" s="21" t="s">
        <v>36</v>
      </c>
      <c r="B91" s="21"/>
      <c r="C91" s="21"/>
      <c r="D91" s="21"/>
      <c r="E91" s="21"/>
    </row>
    <row r="92" spans="1:7" x14ac:dyDescent="0.25">
      <c r="A92" s="21" t="s">
        <v>0</v>
      </c>
      <c r="B92" s="21" t="s">
        <v>18</v>
      </c>
      <c r="C92" s="22" t="s">
        <v>2</v>
      </c>
      <c r="D92" s="23" t="s">
        <v>3</v>
      </c>
      <c r="E92" s="22" t="s">
        <v>35</v>
      </c>
      <c r="F92" s="1" t="s">
        <v>56</v>
      </c>
      <c r="G92" s="1"/>
    </row>
    <row r="93" spans="1:7" x14ac:dyDescent="0.25">
      <c r="A93" s="21" t="s">
        <v>20</v>
      </c>
      <c r="B93" s="21"/>
      <c r="C93" s="22"/>
      <c r="D93" s="23"/>
      <c r="E93" s="22"/>
      <c r="F93" s="1"/>
      <c r="G93" s="1"/>
    </row>
    <row r="94" spans="1:7" x14ac:dyDescent="0.25">
      <c r="A94" s="21"/>
      <c r="B94" s="21"/>
      <c r="C94" s="22"/>
      <c r="D94" s="23"/>
      <c r="E94" s="22"/>
      <c r="F94" s="1"/>
      <c r="G94" s="1"/>
    </row>
    <row r="95" spans="1:7" x14ac:dyDescent="0.25">
      <c r="A95" s="21">
        <v>2015</v>
      </c>
      <c r="B95" s="21">
        <v>1</v>
      </c>
      <c r="C95" s="22">
        <v>-5.8999999999999999E-3</v>
      </c>
      <c r="D95" s="23">
        <v>195492</v>
      </c>
      <c r="E95" s="22">
        <v>1.5100000000000001E-2</v>
      </c>
      <c r="F95" s="1">
        <v>-2.69E-2</v>
      </c>
      <c r="G95" s="1"/>
    </row>
    <row r="96" spans="1:7" x14ac:dyDescent="0.25">
      <c r="A96" s="21">
        <v>2015</v>
      </c>
      <c r="B96" s="21">
        <v>2</v>
      </c>
      <c r="C96" s="22">
        <v>1.9300000000000001E-2</v>
      </c>
      <c r="D96" s="23">
        <v>195931</v>
      </c>
      <c r="E96" s="22">
        <v>-9.5999999999999992E-3</v>
      </c>
      <c r="F96" s="1">
        <v>4.9399999999999999E-2</v>
      </c>
      <c r="G96" s="1"/>
    </row>
    <row r="97" spans="1:7" x14ac:dyDescent="0.25">
      <c r="A97" s="21">
        <v>2015</v>
      </c>
      <c r="B97" s="21">
        <v>3</v>
      </c>
      <c r="C97" s="22">
        <v>-5.0000000000000001E-3</v>
      </c>
      <c r="D97" s="23">
        <v>191619</v>
      </c>
      <c r="E97" s="22">
        <v>2.5000000000000001E-3</v>
      </c>
      <c r="F97" s="1">
        <v>-1.24E-2</v>
      </c>
      <c r="G97" s="1"/>
    </row>
    <row r="98" spans="1:7" x14ac:dyDescent="0.25">
      <c r="A98" s="21">
        <v>2015</v>
      </c>
      <c r="B98" s="21">
        <v>4</v>
      </c>
      <c r="C98" s="22">
        <v>-2.5000000000000001E-3</v>
      </c>
      <c r="D98" s="23">
        <v>187803</v>
      </c>
      <c r="E98" s="22">
        <v>-4.5999999999999999E-3</v>
      </c>
      <c r="F98" s="1">
        <v>-4.0000000000000002E-4</v>
      </c>
      <c r="G98" s="1"/>
    </row>
    <row r="99" spans="1:7" x14ac:dyDescent="0.25">
      <c r="A99" s="21">
        <v>2015</v>
      </c>
      <c r="B99" s="21">
        <v>5</v>
      </c>
      <c r="C99" s="22">
        <v>2.5999999999999999E-3</v>
      </c>
      <c r="D99" s="23">
        <v>184958</v>
      </c>
      <c r="E99" s="22">
        <v>-3.0999999999999999E-3</v>
      </c>
      <c r="F99" s="1">
        <v>8.3000000000000001E-3</v>
      </c>
      <c r="G99" s="1"/>
    </row>
    <row r="100" spans="1:7" x14ac:dyDescent="0.25">
      <c r="A100" s="21">
        <v>2015</v>
      </c>
      <c r="B100" s="21">
        <v>6</v>
      </c>
      <c r="C100" s="22">
        <v>-1.2200000000000001E-2</v>
      </c>
      <c r="D100" s="23">
        <v>179368</v>
      </c>
      <c r="E100" s="22">
        <v>-1.1000000000000001E-3</v>
      </c>
      <c r="F100" s="1">
        <v>-2.3099999999999999E-2</v>
      </c>
      <c r="G100" s="1"/>
    </row>
    <row r="101" spans="1:7" x14ac:dyDescent="0.25">
      <c r="A101" s="21">
        <v>2015</v>
      </c>
      <c r="B101" s="21">
        <v>7</v>
      </c>
      <c r="C101" s="22">
        <v>2.12E-2</v>
      </c>
      <c r="D101" s="23">
        <v>179838</v>
      </c>
      <c r="E101" s="22">
        <v>6.7000000000000002E-3</v>
      </c>
      <c r="F101" s="1">
        <v>3.5799999999999998E-2</v>
      </c>
      <c r="G101" s="1"/>
    </row>
    <row r="102" spans="1:7" x14ac:dyDescent="0.25">
      <c r="A102" s="21">
        <v>2015</v>
      </c>
      <c r="B102" s="21">
        <v>8</v>
      </c>
      <c r="C102" s="22">
        <v>-2.93E-2</v>
      </c>
      <c r="D102" s="23">
        <v>171229</v>
      </c>
      <c r="E102" s="22">
        <v>2.3999999999999998E-3</v>
      </c>
      <c r="F102" s="1">
        <v>-6.0400000000000002E-2</v>
      </c>
      <c r="G102" s="1"/>
    </row>
    <row r="103" spans="1:7" x14ac:dyDescent="0.25">
      <c r="A103" s="21">
        <v>2015</v>
      </c>
      <c r="B103" s="21">
        <v>9</v>
      </c>
      <c r="C103" s="22">
        <v>5.0000000000000001E-4</v>
      </c>
      <c r="D103" s="23">
        <v>167975</v>
      </c>
      <c r="E103" s="22">
        <v>6.6E-3</v>
      </c>
      <c r="F103" s="1">
        <v>-6.0000000000000001E-3</v>
      </c>
      <c r="G103" s="1"/>
    </row>
    <row r="104" spans="1:7" x14ac:dyDescent="0.25">
      <c r="A104" s="21">
        <v>2015</v>
      </c>
      <c r="B104" s="21">
        <v>10</v>
      </c>
      <c r="C104" s="22">
        <v>3.8800000000000001E-2</v>
      </c>
      <c r="D104" s="23">
        <v>171156</v>
      </c>
      <c r="E104" s="22">
        <v>3.8E-3</v>
      </c>
      <c r="F104" s="1">
        <v>7.5800000000000006E-2</v>
      </c>
      <c r="G104" s="1"/>
    </row>
    <row r="105" spans="1:7" x14ac:dyDescent="0.25">
      <c r="A105" s="21">
        <v>2015</v>
      </c>
      <c r="B105" s="21">
        <v>11</v>
      </c>
      <c r="C105" s="22">
        <v>3.5000000000000001E-3</v>
      </c>
      <c r="D105" s="23">
        <v>168415</v>
      </c>
      <c r="E105" s="22">
        <v>3.0000000000000001E-3</v>
      </c>
      <c r="F105" s="1">
        <v>3.8999999999999998E-3</v>
      </c>
      <c r="G105" s="1"/>
    </row>
    <row r="106" spans="1:7" x14ac:dyDescent="0.25">
      <c r="A106" s="21">
        <v>2015</v>
      </c>
      <c r="B106" s="21">
        <v>12</v>
      </c>
      <c r="C106" s="22">
        <v>-2.0999999999999999E-3</v>
      </c>
      <c r="D106" s="23">
        <v>164723</v>
      </c>
      <c r="E106" s="22">
        <v>6.6E-3</v>
      </c>
      <c r="F106" s="1">
        <v>-1.0800000000000001E-2</v>
      </c>
      <c r="G106" s="1"/>
    </row>
    <row r="107" spans="1:7" x14ac:dyDescent="0.25">
      <c r="A107" s="21">
        <v>2016</v>
      </c>
      <c r="B107" s="21">
        <v>1</v>
      </c>
      <c r="C107" s="22">
        <v>-7.7999999999999996E-3</v>
      </c>
      <c r="D107" s="23">
        <v>160100</v>
      </c>
      <c r="E107" s="22">
        <v>1.29E-2</v>
      </c>
      <c r="F107" s="1">
        <v>-2.8500000000000001E-2</v>
      </c>
      <c r="G107" s="1"/>
    </row>
    <row r="108" spans="1:7" x14ac:dyDescent="0.25">
      <c r="A108" s="21">
        <v>2016</v>
      </c>
      <c r="B108" s="21">
        <v>2</v>
      </c>
      <c r="C108" s="22">
        <v>1.4E-3</v>
      </c>
      <c r="D108" s="23">
        <v>156991</v>
      </c>
      <c r="E108" s="22">
        <v>1E-4</v>
      </c>
      <c r="F108" s="1">
        <v>2.8E-3</v>
      </c>
      <c r="G108" s="1"/>
    </row>
    <row r="109" spans="1:7" x14ac:dyDescent="0.25">
      <c r="A109" s="21">
        <v>2016</v>
      </c>
      <c r="B109" s="21">
        <v>3</v>
      </c>
      <c r="C109" s="22">
        <v>2.9000000000000001E-2</v>
      </c>
      <c r="D109" s="23">
        <v>158205</v>
      </c>
      <c r="E109" s="22">
        <v>3.0000000000000001E-3</v>
      </c>
      <c r="F109" s="1">
        <v>5.5899999999999998E-2</v>
      </c>
      <c r="G109" s="1"/>
    </row>
    <row r="110" spans="1:7" x14ac:dyDescent="0.25">
      <c r="A110" s="21">
        <v>2016</v>
      </c>
      <c r="B110" s="21">
        <v>4</v>
      </c>
      <c r="C110" s="22">
        <v>5.7999999999999996E-3</v>
      </c>
      <c r="D110" s="23">
        <v>155791</v>
      </c>
      <c r="E110" s="22">
        <v>6.4000000000000003E-3</v>
      </c>
      <c r="F110" s="1">
        <v>5.1999999999999998E-3</v>
      </c>
      <c r="G110" s="1"/>
    </row>
    <row r="111" spans="1:7" x14ac:dyDescent="0.25">
      <c r="A111" s="21">
        <v>2016</v>
      </c>
      <c r="B111" s="21">
        <v>5</v>
      </c>
      <c r="C111" s="22">
        <v>3.3E-3</v>
      </c>
      <c r="D111" s="23">
        <v>152968</v>
      </c>
      <c r="E111" s="22">
        <v>8.9999999999999998E-4</v>
      </c>
      <c r="F111" s="1">
        <v>5.5999999999999999E-3</v>
      </c>
      <c r="G111" s="1"/>
    </row>
    <row r="112" spans="1:7" x14ac:dyDescent="0.25">
      <c r="A112" s="21">
        <v>2016</v>
      </c>
      <c r="B112" s="21">
        <v>6</v>
      </c>
      <c r="C112" s="22">
        <v>1.4800000000000001E-2</v>
      </c>
      <c r="D112" s="23">
        <v>151899</v>
      </c>
      <c r="E112" s="22">
        <v>1.4E-2</v>
      </c>
      <c r="F112" s="1">
        <v>1.5599999999999999E-2</v>
      </c>
      <c r="G112" s="1"/>
    </row>
    <row r="113" spans="1:7" x14ac:dyDescent="0.25">
      <c r="A113" s="21">
        <v>2016</v>
      </c>
      <c r="B113" s="21">
        <v>7</v>
      </c>
      <c r="C113" s="22">
        <v>8.8000000000000005E-3</v>
      </c>
      <c r="D113" s="23">
        <v>149904</v>
      </c>
      <c r="E113" s="22">
        <v>-5.0000000000000001E-4</v>
      </c>
      <c r="F113" s="1">
        <v>1.7899999999999999E-2</v>
      </c>
      <c r="G113" s="1"/>
    </row>
    <row r="114" spans="1:7" x14ac:dyDescent="0.25">
      <c r="A114" s="21">
        <v>2016</v>
      </c>
      <c r="B114" s="21">
        <v>8</v>
      </c>
      <c r="C114" s="22">
        <v>1.6000000000000001E-3</v>
      </c>
      <c r="D114" s="23">
        <v>146812</v>
      </c>
      <c r="E114" s="22">
        <v>1.5E-3</v>
      </c>
      <c r="F114" s="1">
        <v>1.6999999999999999E-3</v>
      </c>
      <c r="G114" s="1"/>
    </row>
    <row r="115" spans="1:7" x14ac:dyDescent="0.25">
      <c r="A115" s="21">
        <v>2016</v>
      </c>
      <c r="B115" s="21">
        <v>9</v>
      </c>
      <c r="C115" s="22">
        <v>-7.7000000000000002E-3</v>
      </c>
      <c r="D115" s="23">
        <v>142344</v>
      </c>
      <c r="E115" s="22">
        <v>-4.0000000000000001E-3</v>
      </c>
      <c r="F115" s="1">
        <v>-1.1299999999999999E-2</v>
      </c>
      <c r="G115" s="1"/>
    </row>
    <row r="116" spans="1:7" x14ac:dyDescent="0.25">
      <c r="A116" s="21">
        <v>2016</v>
      </c>
      <c r="B116" s="21">
        <v>10</v>
      </c>
      <c r="C116" s="22">
        <v>-1.9900000000000001E-2</v>
      </c>
      <c r="D116" s="23">
        <v>136177</v>
      </c>
      <c r="E116" s="22">
        <v>-8.0999999999999996E-3</v>
      </c>
      <c r="F116" s="1">
        <v>-3.1399999999999997E-2</v>
      </c>
      <c r="G116" s="1"/>
    </row>
    <row r="117" spans="1:7" x14ac:dyDescent="0.25">
      <c r="A117" s="21">
        <v>2016</v>
      </c>
      <c r="B117" s="21">
        <v>11</v>
      </c>
      <c r="C117" s="22">
        <v>-2.0999999999999999E-3</v>
      </c>
      <c r="D117" s="23">
        <v>132555</v>
      </c>
      <c r="E117" s="22">
        <v>-3.4200000000000001E-2</v>
      </c>
      <c r="F117" s="1">
        <v>2.9700000000000001E-2</v>
      </c>
      <c r="G117" s="1"/>
    </row>
    <row r="118" spans="1:7" x14ac:dyDescent="0.25">
      <c r="A118" s="21">
        <v>2016</v>
      </c>
      <c r="B118" s="21">
        <v>12</v>
      </c>
      <c r="C118" s="22">
        <v>1.12E-2</v>
      </c>
      <c r="D118" s="23">
        <v>130708</v>
      </c>
      <c r="E118" s="22">
        <v>9.5999999999999992E-3</v>
      </c>
      <c r="F118" s="1">
        <v>1.2699999999999999E-2</v>
      </c>
      <c r="G118" s="1"/>
    </row>
    <row r="119" spans="1:7" x14ac:dyDescent="0.25">
      <c r="A119" s="21">
        <v>2017</v>
      </c>
      <c r="B119" s="21">
        <v>1</v>
      </c>
      <c r="C119" s="22">
        <v>8.8000000000000005E-3</v>
      </c>
      <c r="D119" s="23">
        <v>128527</v>
      </c>
      <c r="E119" s="22">
        <v>5.3E-3</v>
      </c>
      <c r="F119" s="1">
        <v>1.24E-2</v>
      </c>
      <c r="G119" s="1"/>
    </row>
    <row r="120" spans="1:7" x14ac:dyDescent="0.25">
      <c r="A120" s="21">
        <v>2017</v>
      </c>
      <c r="B120" s="21">
        <v>2</v>
      </c>
      <c r="C120" s="22">
        <v>2.5700000000000001E-2</v>
      </c>
      <c r="D120" s="23">
        <v>128497</v>
      </c>
      <c r="E120" s="22">
        <v>5.7000000000000002E-3</v>
      </c>
      <c r="F120" s="1">
        <v>4.5499999999999999E-2</v>
      </c>
      <c r="G120" s="1"/>
    </row>
    <row r="121" spans="1:7" x14ac:dyDescent="0.25">
      <c r="A121" s="21">
        <v>2017</v>
      </c>
      <c r="B121" s="21">
        <v>3</v>
      </c>
      <c r="C121" s="22">
        <v>1.6000000000000001E-3</v>
      </c>
      <c r="D121" s="23">
        <v>125368</v>
      </c>
      <c r="E121" s="22">
        <v>3.0999999999999999E-3</v>
      </c>
      <c r="F121" s="1">
        <v>2.0000000000000001E-4</v>
      </c>
      <c r="G121" s="1"/>
    </row>
    <row r="122" spans="1:7" x14ac:dyDescent="0.25">
      <c r="A122" s="21">
        <v>2017</v>
      </c>
      <c r="B122" s="21">
        <v>4</v>
      </c>
      <c r="C122" s="22">
        <v>9.7999999999999997E-3</v>
      </c>
      <c r="D122" s="23">
        <v>123261</v>
      </c>
      <c r="E122" s="22">
        <v>7.3000000000000001E-3</v>
      </c>
      <c r="F122" s="1">
        <v>1.2200000000000001E-2</v>
      </c>
      <c r="G122" s="1"/>
    </row>
    <row r="123" spans="1:7" x14ac:dyDescent="0.25">
      <c r="A123" s="21">
        <v>2017</v>
      </c>
      <c r="B123" s="21">
        <v>5</v>
      </c>
      <c r="C123" s="22">
        <v>1.5900000000000001E-2</v>
      </c>
      <c r="D123" s="23">
        <v>121890</v>
      </c>
      <c r="E123" s="22">
        <v>1.37E-2</v>
      </c>
      <c r="F123" s="1">
        <v>1.7999999999999999E-2</v>
      </c>
      <c r="G123" s="1"/>
    </row>
    <row r="124" spans="1:7" x14ac:dyDescent="0.25">
      <c r="A124" s="21">
        <v>2017</v>
      </c>
      <c r="B124" s="21">
        <v>6</v>
      </c>
      <c r="C124" s="22">
        <v>2.3999999999999998E-3</v>
      </c>
      <c r="D124" s="23">
        <v>118846</v>
      </c>
      <c r="E124" s="22">
        <v>-3.3999999999999998E-3</v>
      </c>
      <c r="F124" s="1">
        <v>7.7999999999999996E-3</v>
      </c>
      <c r="G124" s="1"/>
    </row>
    <row r="125" spans="1:7" x14ac:dyDescent="0.25">
      <c r="A125" s="21">
        <v>2017</v>
      </c>
      <c r="B125" s="21">
        <v>7</v>
      </c>
      <c r="C125" s="22">
        <v>9.9000000000000008E-3</v>
      </c>
      <c r="D125" s="23">
        <v>116687</v>
      </c>
      <c r="E125" s="22">
        <v>6.4999999999999997E-3</v>
      </c>
      <c r="F125" s="1">
        <v>1.2999999999999999E-2</v>
      </c>
      <c r="G125" s="1"/>
    </row>
    <row r="126" spans="1:7" x14ac:dyDescent="0.25">
      <c r="A126" s="21">
        <v>2017</v>
      </c>
      <c r="B126" s="21">
        <v>8</v>
      </c>
      <c r="C126" s="22">
        <v>2E-3</v>
      </c>
      <c r="D126" s="23">
        <v>113587</v>
      </c>
      <c r="E126" s="22">
        <v>7.9000000000000008E-3</v>
      </c>
      <c r="F126" s="1">
        <v>-3.5000000000000001E-3</v>
      </c>
      <c r="G126" s="1"/>
    </row>
    <row r="127" spans="1:7" x14ac:dyDescent="0.25">
      <c r="A127" s="21">
        <v>2017</v>
      </c>
      <c r="B127" s="21">
        <v>9</v>
      </c>
      <c r="C127" s="22">
        <v>7.1999999999999998E-3</v>
      </c>
      <c r="D127" s="23">
        <v>111077</v>
      </c>
      <c r="E127" s="22">
        <v>-4.1000000000000003E-3</v>
      </c>
      <c r="F127" s="1">
        <v>1.7999999999999999E-2</v>
      </c>
      <c r="G127" s="1"/>
    </row>
    <row r="128" spans="1:7" x14ac:dyDescent="0.25">
      <c r="A128" s="21">
        <v>2017</v>
      </c>
      <c r="B128" s="21">
        <v>10</v>
      </c>
      <c r="C128" s="22">
        <v>2.3999999999999998E-3</v>
      </c>
      <c r="D128" s="23">
        <v>108012</v>
      </c>
      <c r="E128" s="22">
        <v>8.9999999999999998E-4</v>
      </c>
      <c r="F128" s="1">
        <v>3.8E-3</v>
      </c>
      <c r="G128" s="1"/>
    </row>
    <row r="129" spans="1:7" x14ac:dyDescent="0.25">
      <c r="A129" s="21">
        <v>2017</v>
      </c>
      <c r="B129" s="21">
        <v>11</v>
      </c>
      <c r="C129" s="22">
        <v>1.6400000000000001E-2</v>
      </c>
      <c r="D129" s="23">
        <v>106447</v>
      </c>
      <c r="E129" s="22">
        <v>-7.0000000000000001E-3</v>
      </c>
      <c r="F129" s="1">
        <v>3.78E-2</v>
      </c>
      <c r="G129" s="1"/>
    </row>
    <row r="130" spans="1:7" x14ac:dyDescent="0.25">
      <c r="A130" s="21">
        <v>2017</v>
      </c>
      <c r="B130" s="21">
        <v>12</v>
      </c>
      <c r="C130" s="22">
        <v>1.15E-2</v>
      </c>
      <c r="D130" s="23">
        <v>104336</v>
      </c>
      <c r="E130" s="22">
        <v>8.6999999999999994E-3</v>
      </c>
      <c r="F130" s="1">
        <v>1.3899999999999999E-2</v>
      </c>
      <c r="G130" s="1"/>
    </row>
    <row r="131" spans="1:7" x14ac:dyDescent="0.25">
      <c r="A131" s="21">
        <v>2018</v>
      </c>
      <c r="B131" s="21">
        <v>1</v>
      </c>
      <c r="C131" s="22">
        <v>1.9300000000000001E-2</v>
      </c>
      <c r="D131" s="23">
        <v>103014</v>
      </c>
      <c r="E131" s="22">
        <v>-1.04E-2</v>
      </c>
      <c r="F131" s="1">
        <v>4.9000000000000002E-2</v>
      </c>
      <c r="G131" s="1"/>
    </row>
    <row r="132" spans="1:7" x14ac:dyDescent="0.25">
      <c r="A132" s="21">
        <v>2018</v>
      </c>
      <c r="B132" s="21">
        <v>2</v>
      </c>
      <c r="C132" s="22">
        <v>-2.3599999999999999E-2</v>
      </c>
      <c r="D132" s="23">
        <v>97252</v>
      </c>
      <c r="E132" s="22">
        <v>-2.8999999999999998E-3</v>
      </c>
      <c r="F132" s="1">
        <v>-4.3099999999999999E-2</v>
      </c>
      <c r="G132" s="1"/>
    </row>
    <row r="133" spans="1:7" x14ac:dyDescent="0.25">
      <c r="A133" s="21">
        <v>2018</v>
      </c>
      <c r="B133" s="21">
        <v>3</v>
      </c>
      <c r="C133" s="22">
        <v>-6.0000000000000001E-3</v>
      </c>
      <c r="D133" s="23">
        <v>93332</v>
      </c>
      <c r="E133" s="22">
        <v>2.3999999999999998E-3</v>
      </c>
      <c r="F133" s="1">
        <v>-1.43E-2</v>
      </c>
      <c r="G133" s="1"/>
    </row>
    <row r="134" spans="1:7" x14ac:dyDescent="0.25">
      <c r="A134" s="21">
        <v>2018</v>
      </c>
      <c r="B134" s="21">
        <v>4</v>
      </c>
      <c r="C134" s="22">
        <v>4.7999999999999996E-3</v>
      </c>
      <c r="D134" s="23">
        <v>90449</v>
      </c>
      <c r="E134" s="22">
        <v>-3.5000000000000001E-3</v>
      </c>
      <c r="F134" s="1">
        <v>1.3100000000000001E-2</v>
      </c>
      <c r="G134" s="1"/>
    </row>
    <row r="135" spans="1:7" x14ac:dyDescent="0.25">
      <c r="A135" s="21">
        <v>2018</v>
      </c>
      <c r="B135" s="21">
        <v>5</v>
      </c>
      <c r="C135" s="22">
        <v>1.15E-2</v>
      </c>
      <c r="D135" s="23">
        <v>88152</v>
      </c>
      <c r="E135" s="22">
        <v>1.04E-2</v>
      </c>
      <c r="F135" s="1">
        <v>1.2500000000000001E-2</v>
      </c>
      <c r="G135" s="1"/>
    </row>
    <row r="136" spans="1:7" x14ac:dyDescent="0.25">
      <c r="A136" s="21">
        <v>2018</v>
      </c>
      <c r="B136" s="21">
        <v>6</v>
      </c>
      <c r="C136" s="22">
        <v>2.3E-3</v>
      </c>
      <c r="D136" s="23">
        <v>85019</v>
      </c>
      <c r="E136" s="22">
        <v>8.9999999999999998E-4</v>
      </c>
      <c r="F136" s="1">
        <v>3.5999999999999999E-3</v>
      </c>
      <c r="G136" s="1"/>
    </row>
    <row r="137" spans="1:7" x14ac:dyDescent="0.25">
      <c r="A137" s="21">
        <v>2018</v>
      </c>
      <c r="B137" s="21">
        <v>7</v>
      </c>
      <c r="C137" s="22">
        <v>2.23E-2</v>
      </c>
      <c r="D137" s="23">
        <v>83584</v>
      </c>
      <c r="E137" s="22">
        <v>2.3999999999999998E-3</v>
      </c>
      <c r="F137" s="1">
        <v>4.1799999999999997E-2</v>
      </c>
      <c r="G137" s="1"/>
    </row>
    <row r="138" spans="1:7" x14ac:dyDescent="0.25">
      <c r="A138" s="21">
        <v>2018</v>
      </c>
      <c r="B138" s="21">
        <v>8</v>
      </c>
      <c r="C138" s="22">
        <v>1.0500000000000001E-2</v>
      </c>
      <c r="D138" s="23">
        <v>81128</v>
      </c>
      <c r="E138" s="22">
        <v>1.6999999999999999E-3</v>
      </c>
      <c r="F138" s="1">
        <v>1.8800000000000001E-2</v>
      </c>
      <c r="G138" s="1"/>
    </row>
    <row r="139" spans="1:7" x14ac:dyDescent="0.25">
      <c r="A139" s="21">
        <v>2018</v>
      </c>
      <c r="B139" s="21">
        <v>9</v>
      </c>
      <c r="C139" s="22">
        <v>7.1000000000000004E-3</v>
      </c>
      <c r="D139" s="23">
        <v>78370</v>
      </c>
      <c r="E139" s="22">
        <v>-4.7999999999999996E-3</v>
      </c>
      <c r="F139" s="1">
        <v>1.8100000000000002E-2</v>
      </c>
      <c r="G139" s="1"/>
    </row>
    <row r="140" spans="1:7" x14ac:dyDescent="0.25">
      <c r="A140" s="21">
        <v>2018</v>
      </c>
      <c r="B140" s="21">
        <v>10</v>
      </c>
      <c r="C140" s="22">
        <v>-2.92E-2</v>
      </c>
      <c r="D140" s="23">
        <v>72748</v>
      </c>
      <c r="E140" s="22">
        <v>-5.5999999999999999E-3</v>
      </c>
      <c r="F140" s="1">
        <v>-5.0599999999999999E-2</v>
      </c>
      <c r="G140" s="1"/>
    </row>
    <row r="141" spans="1:7" x14ac:dyDescent="0.25">
      <c r="A141" s="21">
        <v>2018</v>
      </c>
      <c r="B141" s="21">
        <v>11</v>
      </c>
      <c r="C141" s="22">
        <v>2.7699999999999999E-2</v>
      </c>
      <c r="D141" s="23">
        <v>71429</v>
      </c>
      <c r="E141" s="22">
        <v>1.04E-2</v>
      </c>
      <c r="F141" s="1">
        <v>4.41E-2</v>
      </c>
      <c r="G141" s="1"/>
    </row>
    <row r="142" spans="1:7" x14ac:dyDescent="0.25">
      <c r="A142" s="21">
        <v>2018</v>
      </c>
      <c r="B142" s="21">
        <v>12</v>
      </c>
      <c r="C142" s="22">
        <v>-3.6999999999999998E-2</v>
      </c>
      <c r="D142" s="23">
        <v>65450</v>
      </c>
      <c r="E142" s="22">
        <v>1.1900000000000001E-2</v>
      </c>
      <c r="F142" s="1">
        <v>-8.1900000000000001E-2</v>
      </c>
      <c r="G142" s="1"/>
    </row>
    <row r="143" spans="1:7" x14ac:dyDescent="0.25">
      <c r="A143" s="21">
        <v>2019</v>
      </c>
      <c r="B143" s="21">
        <v>1</v>
      </c>
      <c r="C143" s="22">
        <v>3.6200000000000003E-2</v>
      </c>
      <c r="D143" s="23">
        <v>64485</v>
      </c>
      <c r="E143" s="22">
        <v>8.2000000000000007E-3</v>
      </c>
      <c r="F143" s="1">
        <v>6.4199999999999993E-2</v>
      </c>
      <c r="G143" s="1"/>
    </row>
    <row r="144" spans="1:7" x14ac:dyDescent="0.25">
      <c r="A144" s="21">
        <v>2019</v>
      </c>
      <c r="B144" s="21">
        <v>2</v>
      </c>
      <c r="C144" s="22">
        <v>2.1600000000000001E-2</v>
      </c>
      <c r="D144" s="23">
        <v>62542</v>
      </c>
      <c r="E144" s="22">
        <v>5.0000000000000001E-3</v>
      </c>
      <c r="F144" s="1">
        <v>3.73E-2</v>
      </c>
      <c r="G144" s="1"/>
    </row>
    <row r="145" spans="1:7" x14ac:dyDescent="0.25">
      <c r="A145" s="21">
        <v>2019</v>
      </c>
      <c r="B145" s="21">
        <v>3</v>
      </c>
      <c r="C145" s="22">
        <v>2.2599999999999999E-2</v>
      </c>
      <c r="D145" s="23">
        <v>60620</v>
      </c>
      <c r="E145" s="22">
        <v>1.2999999999999999E-2</v>
      </c>
      <c r="F145" s="1">
        <v>3.1300000000000001E-2</v>
      </c>
      <c r="G145" s="1"/>
    </row>
    <row r="146" spans="1:7" x14ac:dyDescent="0.25">
      <c r="A146" s="21">
        <v>2019</v>
      </c>
      <c r="B146" s="21">
        <v>4</v>
      </c>
      <c r="C146" s="22">
        <v>1.8200000000000001E-2</v>
      </c>
      <c r="D146" s="23">
        <v>58391</v>
      </c>
      <c r="E146" s="22">
        <v>2.8999999999999998E-3</v>
      </c>
      <c r="F146" s="1">
        <v>3.2000000000000001E-2</v>
      </c>
      <c r="G146" s="1"/>
    </row>
    <row r="147" spans="1:7" x14ac:dyDescent="0.25">
      <c r="A147" s="21">
        <v>2019</v>
      </c>
      <c r="B147" s="21">
        <v>5</v>
      </c>
      <c r="C147" s="22">
        <v>-7.6E-3</v>
      </c>
      <c r="D147" s="23">
        <v>54615</v>
      </c>
      <c r="E147" s="22">
        <v>1.3599999999999999E-2</v>
      </c>
      <c r="F147" s="1">
        <v>-2.6100000000000002E-2</v>
      </c>
      <c r="G147" s="1"/>
    </row>
    <row r="148" spans="1:7" x14ac:dyDescent="0.25">
      <c r="A148" s="21">
        <v>2019</v>
      </c>
      <c r="B148" s="21">
        <v>6</v>
      </c>
      <c r="C148" s="22">
        <v>3.1800000000000002E-2</v>
      </c>
      <c r="D148" s="23">
        <v>53020</v>
      </c>
      <c r="E148" s="22">
        <v>3.5999999999999999E-3</v>
      </c>
      <c r="F148" s="1">
        <v>5.7599999999999998E-2</v>
      </c>
      <c r="G148" s="1"/>
    </row>
    <row r="149" spans="1:7" x14ac:dyDescent="0.25">
      <c r="A149" s="21">
        <v>2019</v>
      </c>
      <c r="B149" s="21">
        <v>7</v>
      </c>
      <c r="C149" s="22">
        <v>1.35E-2</v>
      </c>
      <c r="D149" s="23">
        <v>50400</v>
      </c>
      <c r="E149" s="22">
        <v>7.7999999999999996E-3</v>
      </c>
      <c r="F149" s="1">
        <v>1.84E-2</v>
      </c>
      <c r="G149" s="1"/>
    </row>
    <row r="150" spans="1:7" x14ac:dyDescent="0.25">
      <c r="A150" s="21">
        <v>2019</v>
      </c>
      <c r="B150" s="21">
        <v>8</v>
      </c>
      <c r="C150" s="22">
        <v>1.3899999999999999E-2</v>
      </c>
      <c r="D150" s="23">
        <v>47766</v>
      </c>
      <c r="E150" s="22">
        <v>1.32E-2</v>
      </c>
      <c r="F150" s="1">
        <v>1.44E-2</v>
      </c>
      <c r="G150" s="1"/>
    </row>
    <row r="151" spans="1:7" x14ac:dyDescent="0.25">
      <c r="A151" s="28">
        <v>2019</v>
      </c>
      <c r="B151" s="28">
        <v>9</v>
      </c>
      <c r="C151" s="29">
        <v>-2.5999999999999999E-3</v>
      </c>
      <c r="D151" s="30">
        <v>44309</v>
      </c>
      <c r="E151" s="29">
        <v>-7.4999999999999997E-3</v>
      </c>
      <c r="F151" s="19">
        <v>1.6000000000000001E-3</v>
      </c>
      <c r="G151" s="19"/>
    </row>
    <row r="152" spans="1:7" x14ac:dyDescent="0.25">
      <c r="A152" s="21">
        <v>2019</v>
      </c>
      <c r="B152" s="21">
        <v>10</v>
      </c>
      <c r="C152" s="22">
        <v>-2.3999999999999998E-3</v>
      </c>
      <c r="D152" s="23">
        <v>40872</v>
      </c>
      <c r="E152" s="22">
        <v>1.4E-3</v>
      </c>
      <c r="F152" s="1">
        <v>-5.5999999999999999E-3</v>
      </c>
      <c r="G152" s="1"/>
    </row>
    <row r="153" spans="1:7" x14ac:dyDescent="0.25">
      <c r="A153">
        <v>2019</v>
      </c>
      <c r="B153">
        <v>11</v>
      </c>
      <c r="C153" s="1">
        <v>1.4200000000000001E-2</v>
      </c>
      <c r="D153" s="3">
        <v>38119</v>
      </c>
      <c r="E153" s="1">
        <v>1.4E-3</v>
      </c>
      <c r="F153" s="1">
        <v>2.52E-2</v>
      </c>
      <c r="G153" s="1"/>
    </row>
    <row r="154" spans="1:7" x14ac:dyDescent="0.25">
      <c r="A154" s="10">
        <v>2019</v>
      </c>
      <c r="B154" s="10">
        <v>12</v>
      </c>
      <c r="C154" s="11">
        <v>1.5699999999999999E-2</v>
      </c>
      <c r="D154" s="14">
        <v>35385</v>
      </c>
      <c r="E154" s="11">
        <v>3.5000000000000001E-3</v>
      </c>
      <c r="F154" s="11">
        <v>2.5899999999999999E-2</v>
      </c>
      <c r="G154" s="11"/>
    </row>
    <row r="155" spans="1:7" x14ac:dyDescent="0.25">
      <c r="A155" t="s">
        <v>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B3162-5682-476A-A299-51F4E92B28E8}">
  <dimension ref="A1:R155"/>
  <sheetViews>
    <sheetView workbookViewId="0"/>
  </sheetViews>
  <sheetFormatPr defaultRowHeight="15" x14ac:dyDescent="0.25"/>
  <cols>
    <col min="4" max="4" width="18.140625" bestFit="1" customWidth="1"/>
  </cols>
  <sheetData>
    <row r="1" spans="1:18" x14ac:dyDescent="0.25">
      <c r="A1" t="s">
        <v>36</v>
      </c>
      <c r="J1" t="s">
        <v>72</v>
      </c>
      <c r="K1" t="s">
        <v>6</v>
      </c>
      <c r="L1" s="2">
        <f>C4*5</f>
        <v>0.37904999999999989</v>
      </c>
      <c r="M1" s="7">
        <f>L1/L2</f>
        <v>1.4038888888888883</v>
      </c>
      <c r="Q1" s="2">
        <f>C4</f>
        <v>7.5809999999999975E-2</v>
      </c>
    </row>
    <row r="2" spans="1:18" x14ac:dyDescent="0.25">
      <c r="A2" t="s">
        <v>0</v>
      </c>
      <c r="B2" t="s">
        <v>1</v>
      </c>
      <c r="C2" t="s">
        <v>2</v>
      </c>
      <c r="D2" t="s">
        <v>3</v>
      </c>
      <c r="E2" t="s">
        <v>56</v>
      </c>
      <c r="F2" t="s">
        <v>35</v>
      </c>
      <c r="K2" t="s">
        <v>7</v>
      </c>
      <c r="L2" s="5">
        <v>0.27</v>
      </c>
      <c r="O2" t="s">
        <v>8</v>
      </c>
      <c r="P2">
        <v>200000</v>
      </c>
      <c r="Q2">
        <v>40000</v>
      </c>
      <c r="R2" t="s">
        <v>9</v>
      </c>
    </row>
    <row r="3" spans="1:18" ht="15.75" thickBot="1" x14ac:dyDescent="0.3">
      <c r="A3" t="s">
        <v>5</v>
      </c>
      <c r="O3">
        <v>1</v>
      </c>
      <c r="P3">
        <f>P2 - Q2</f>
        <v>160000</v>
      </c>
      <c r="Q3" s="6">
        <f>P3*(1+Q1)</f>
        <v>172129.59999999998</v>
      </c>
    </row>
    <row r="4" spans="1:18" x14ac:dyDescent="0.25">
      <c r="C4" s="1">
        <f>AVERAGE(C5:C24)</f>
        <v>7.5809999999999975E-2</v>
      </c>
      <c r="E4" s="1"/>
      <c r="H4" s="2" t="s">
        <v>36</v>
      </c>
      <c r="J4" s="31" t="s">
        <v>76</v>
      </c>
      <c r="K4" s="32" t="s">
        <v>6</v>
      </c>
      <c r="L4" s="33">
        <f>L1</f>
        <v>0.37904999999999989</v>
      </c>
      <c r="M4" s="34">
        <f>L4/L5</f>
        <v>2.1175977653631279</v>
      </c>
      <c r="O4">
        <v>2</v>
      </c>
      <c r="P4" s="6">
        <f>Q3-Q2</f>
        <v>132129.59999999998</v>
      </c>
      <c r="Q4" s="6">
        <f>P4*(1+Q1)</f>
        <v>142146.34497599996</v>
      </c>
    </row>
    <row r="5" spans="1:18" ht="15.75" thickBot="1" x14ac:dyDescent="0.3">
      <c r="A5">
        <v>2000</v>
      </c>
      <c r="B5" s="1">
        <v>3.39E-2</v>
      </c>
      <c r="C5" s="1">
        <v>0.15909999999999999</v>
      </c>
      <c r="D5" s="3">
        <v>1159</v>
      </c>
      <c r="E5" s="1">
        <v>0.18770000000000001</v>
      </c>
      <c r="F5" s="1">
        <v>9.2399999999999996E-2</v>
      </c>
      <c r="G5" s="1"/>
      <c r="H5">
        <v>1</v>
      </c>
      <c r="J5" s="35"/>
      <c r="K5" s="36" t="s">
        <v>7</v>
      </c>
      <c r="L5" s="38">
        <v>0.17899999999999999</v>
      </c>
      <c r="M5" s="37"/>
      <c r="O5">
        <v>3</v>
      </c>
      <c r="P5" s="6">
        <f>Q4-Q2</f>
        <v>102146.34497599996</v>
      </c>
      <c r="Q5" s="6">
        <f>P5*(1+Q1)</f>
        <v>109890.05938863051</v>
      </c>
    </row>
    <row r="6" spans="1:18" x14ac:dyDescent="0.25">
      <c r="A6">
        <v>2001</v>
      </c>
      <c r="B6" s="1">
        <v>1.55E-2</v>
      </c>
      <c r="C6" s="1">
        <v>-0.121</v>
      </c>
      <c r="D6" s="3">
        <v>1019</v>
      </c>
      <c r="E6" s="1">
        <v>-0.19450000000000001</v>
      </c>
      <c r="F6" s="1">
        <v>5.0500000000000003E-2</v>
      </c>
      <c r="G6" s="1"/>
      <c r="H6">
        <v>2</v>
      </c>
      <c r="O6">
        <v>4</v>
      </c>
      <c r="P6" s="6">
        <f>Q5-Q2</f>
        <v>69890.059388630514</v>
      </c>
      <c r="Q6" s="6">
        <f>P6*(1+Q1)</f>
        <v>75188.424790882593</v>
      </c>
    </row>
    <row r="7" spans="1:18" x14ac:dyDescent="0.25">
      <c r="A7">
        <v>2002</v>
      </c>
      <c r="B7" s="1">
        <v>2.3800000000000002E-2</v>
      </c>
      <c r="C7" s="1">
        <v>-0.1384</v>
      </c>
      <c r="D7" s="3">
        <v>878</v>
      </c>
      <c r="E7" s="1">
        <v>-0.2316</v>
      </c>
      <c r="F7" s="1">
        <v>7.9100000000000004E-2</v>
      </c>
      <c r="G7" s="1"/>
      <c r="H7">
        <v>3</v>
      </c>
      <c r="O7">
        <v>5</v>
      </c>
      <c r="P7" s="6">
        <f>Q6-Q2</f>
        <v>35188.424790882593</v>
      </c>
      <c r="Q7" s="6">
        <f>P7*(1+Q1)</f>
        <v>37856.059274279403</v>
      </c>
    </row>
    <row r="8" spans="1:18" x14ac:dyDescent="0.25">
      <c r="A8">
        <v>2003</v>
      </c>
      <c r="B8" s="1">
        <v>1.8800000000000001E-2</v>
      </c>
      <c r="C8" s="1">
        <v>0.21779999999999999</v>
      </c>
      <c r="D8" s="3">
        <v>1069</v>
      </c>
      <c r="E8" s="1">
        <v>0.29199999999999998</v>
      </c>
      <c r="F8" s="1">
        <v>4.4600000000000001E-2</v>
      </c>
      <c r="G8" s="1"/>
      <c r="H8">
        <v>4</v>
      </c>
    </row>
    <row r="9" spans="1:18" x14ac:dyDescent="0.25">
      <c r="A9">
        <v>2004</v>
      </c>
      <c r="B9" s="1">
        <v>3.2599999999999997E-2</v>
      </c>
      <c r="C9" s="1">
        <v>8.6800000000000002E-2</v>
      </c>
      <c r="D9" s="3">
        <v>1162</v>
      </c>
      <c r="E9" s="1">
        <v>0.1101</v>
      </c>
      <c r="F9" s="1">
        <v>3.2300000000000002E-2</v>
      </c>
      <c r="G9" s="1"/>
      <c r="H9">
        <v>5</v>
      </c>
    </row>
    <row r="10" spans="1:18" x14ac:dyDescent="0.25">
      <c r="A10">
        <v>2005</v>
      </c>
      <c r="B10" s="1">
        <v>3.4200000000000001E-2</v>
      </c>
      <c r="C10" s="1">
        <v>3.6400000000000002E-2</v>
      </c>
      <c r="D10" s="3">
        <v>1204</v>
      </c>
      <c r="E10" s="1">
        <v>4.2299999999999997E-2</v>
      </c>
      <c r="F10" s="1">
        <v>2.24E-2</v>
      </c>
      <c r="G10" s="1"/>
      <c r="H10">
        <v>6</v>
      </c>
      <c r="O10" t="s">
        <v>10</v>
      </c>
    </row>
    <row r="11" spans="1:18" x14ac:dyDescent="0.25">
      <c r="A11">
        <v>2006</v>
      </c>
      <c r="B11" s="1">
        <v>2.5399999999999999E-2</v>
      </c>
      <c r="C11" s="1">
        <v>0.15029999999999999</v>
      </c>
      <c r="D11" s="3">
        <v>1385</v>
      </c>
      <c r="E11" s="1">
        <v>0.1958</v>
      </c>
      <c r="F11" s="1">
        <v>4.4299999999999999E-2</v>
      </c>
      <c r="G11" s="1"/>
      <c r="H11">
        <v>7</v>
      </c>
      <c r="O11" t="s">
        <v>11</v>
      </c>
    </row>
    <row r="12" spans="1:18" x14ac:dyDescent="0.25">
      <c r="A12">
        <v>2007</v>
      </c>
      <c r="B12" s="1">
        <v>4.0800000000000003E-2</v>
      </c>
      <c r="C12" s="1">
        <v>5.9299999999999999E-2</v>
      </c>
      <c r="D12" s="3">
        <v>1467</v>
      </c>
      <c r="E12" s="1">
        <v>7.0000000000000007E-2</v>
      </c>
      <c r="F12" s="1">
        <v>3.4299999999999997E-2</v>
      </c>
      <c r="G12" s="1"/>
      <c r="H12">
        <v>8</v>
      </c>
    </row>
    <row r="13" spans="1:18" x14ac:dyDescent="0.25">
      <c r="A13">
        <v>2008</v>
      </c>
      <c r="B13" s="1">
        <v>8.9999999999999998E-4</v>
      </c>
      <c r="C13" s="1">
        <v>-0.1794</v>
      </c>
      <c r="D13" s="3">
        <v>1204</v>
      </c>
      <c r="E13" s="1">
        <v>-0.25569999999999998</v>
      </c>
      <c r="F13" s="1">
        <v>-1.4E-3</v>
      </c>
      <c r="G13" s="1"/>
      <c r="H13">
        <v>9</v>
      </c>
    </row>
    <row r="14" spans="1:18" x14ac:dyDescent="0.25">
      <c r="A14">
        <v>2009</v>
      </c>
      <c r="B14" s="1">
        <v>2.7199999999999998E-2</v>
      </c>
      <c r="C14" s="1">
        <v>0.18279999999999999</v>
      </c>
      <c r="D14" s="3">
        <v>1424</v>
      </c>
      <c r="E14" s="1">
        <v>0.21740000000000001</v>
      </c>
      <c r="F14" s="1">
        <v>0.1022</v>
      </c>
      <c r="G14" s="1"/>
      <c r="H14">
        <v>10</v>
      </c>
    </row>
    <row r="15" spans="1:18" x14ac:dyDescent="0.25">
      <c r="A15">
        <v>2010</v>
      </c>
      <c r="B15" s="1">
        <v>1.4999999999999999E-2</v>
      </c>
      <c r="C15" s="1">
        <v>8.6400000000000005E-2</v>
      </c>
      <c r="D15" s="3">
        <v>1547</v>
      </c>
      <c r="E15" s="1">
        <v>0.1142</v>
      </c>
      <c r="F15" s="1">
        <v>2.1299999999999999E-2</v>
      </c>
      <c r="G15" s="1"/>
      <c r="H15">
        <v>11</v>
      </c>
    </row>
    <row r="16" spans="1:18" x14ac:dyDescent="0.25">
      <c r="A16">
        <v>2011</v>
      </c>
      <c r="B16" s="1">
        <v>2.9600000000000001E-2</v>
      </c>
      <c r="C16" s="1">
        <v>9.4799999999999995E-2</v>
      </c>
      <c r="D16" s="3">
        <v>1694</v>
      </c>
      <c r="E16" s="1">
        <v>9.4299999999999995E-2</v>
      </c>
      <c r="F16" s="1">
        <v>9.6199999999999994E-2</v>
      </c>
      <c r="G16" s="1"/>
      <c r="H16">
        <v>12</v>
      </c>
    </row>
    <row r="17" spans="1:11" x14ac:dyDescent="0.25">
      <c r="A17">
        <v>2012</v>
      </c>
      <c r="B17" s="1">
        <v>1.7399999999999999E-2</v>
      </c>
      <c r="C17" s="1">
        <v>8.9800000000000005E-2</v>
      </c>
      <c r="D17" s="3">
        <v>1846</v>
      </c>
      <c r="E17" s="1">
        <v>0.10390000000000001</v>
      </c>
      <c r="F17" s="1">
        <v>5.7000000000000002E-2</v>
      </c>
      <c r="G17" s="1"/>
      <c r="H17">
        <v>13</v>
      </c>
    </row>
    <row r="18" spans="1:11" x14ac:dyDescent="0.25">
      <c r="A18">
        <v>2013</v>
      </c>
      <c r="B18" s="1">
        <v>1.4999999999999999E-2</v>
      </c>
      <c r="C18" s="1">
        <v>0.216</v>
      </c>
      <c r="D18" s="3">
        <v>2245</v>
      </c>
      <c r="E18" s="1">
        <v>0.31530000000000002</v>
      </c>
      <c r="F18" s="1">
        <v>-1.5599999999999999E-2</v>
      </c>
      <c r="G18" s="1"/>
      <c r="H18">
        <v>14</v>
      </c>
    </row>
    <row r="19" spans="1:11" x14ac:dyDescent="0.25">
      <c r="A19">
        <v>2014</v>
      </c>
      <c r="B19" s="1">
        <v>7.6E-3</v>
      </c>
      <c r="C19" s="1">
        <v>0.1047</v>
      </c>
      <c r="D19" s="3">
        <v>2479</v>
      </c>
      <c r="E19" s="1">
        <v>0.11849999999999999</v>
      </c>
      <c r="F19" s="1">
        <v>7.2499999999999995E-2</v>
      </c>
      <c r="G19" s="1"/>
      <c r="H19">
        <v>15</v>
      </c>
    </row>
    <row r="20" spans="1:11" x14ac:dyDescent="0.25">
      <c r="A20">
        <v>2015</v>
      </c>
      <c r="B20" s="1">
        <v>7.3000000000000001E-3</v>
      </c>
      <c r="C20" s="1">
        <v>2.69E-2</v>
      </c>
      <c r="D20" s="3">
        <v>2546</v>
      </c>
      <c r="E20" s="1">
        <v>2.6200000000000001E-2</v>
      </c>
      <c r="F20" s="1">
        <v>2.86E-2</v>
      </c>
      <c r="G20" s="1"/>
      <c r="H20">
        <v>16</v>
      </c>
    </row>
    <row r="21" spans="1:11" x14ac:dyDescent="0.25">
      <c r="A21">
        <v>2016</v>
      </c>
      <c r="B21" s="1">
        <v>2.07E-2</v>
      </c>
      <c r="C21" s="1">
        <v>5.2999999999999999E-2</v>
      </c>
      <c r="D21" s="3">
        <v>2681</v>
      </c>
      <c r="E21" s="1">
        <v>7.5300000000000006E-2</v>
      </c>
      <c r="F21" s="1">
        <v>8.0000000000000004E-4</v>
      </c>
      <c r="G21" s="1"/>
      <c r="H21">
        <v>17</v>
      </c>
    </row>
    <row r="22" spans="1:11" x14ac:dyDescent="0.25">
      <c r="A22">
        <v>2017</v>
      </c>
      <c r="B22" s="1">
        <v>2.1100000000000001E-2</v>
      </c>
      <c r="C22" s="1">
        <v>0.1489</v>
      </c>
      <c r="D22" s="3">
        <v>3080</v>
      </c>
      <c r="E22" s="1">
        <v>0.1933</v>
      </c>
      <c r="F22" s="1">
        <v>4.53E-2</v>
      </c>
      <c r="G22" s="1"/>
      <c r="H22">
        <v>18</v>
      </c>
    </row>
    <row r="23" spans="1:11" x14ac:dyDescent="0.25">
      <c r="A23">
        <v>2018</v>
      </c>
      <c r="B23" s="1">
        <v>1.9099999999999999E-2</v>
      </c>
      <c r="C23" s="1">
        <v>5.0000000000000001E-3</v>
      </c>
      <c r="D23" s="3">
        <v>3096</v>
      </c>
      <c r="E23" s="1">
        <v>1.8E-3</v>
      </c>
      <c r="F23" s="1">
        <v>1.2500000000000001E-2</v>
      </c>
      <c r="G23" s="1"/>
      <c r="H23">
        <v>19</v>
      </c>
    </row>
    <row r="24" spans="1:11" x14ac:dyDescent="0.25">
      <c r="A24">
        <v>2019</v>
      </c>
      <c r="B24" s="1">
        <v>2.29E-2</v>
      </c>
      <c r="C24" s="1">
        <v>0.23699999999999999</v>
      </c>
      <c r="D24" s="3">
        <v>3830</v>
      </c>
      <c r="E24" s="1">
        <v>0.3095</v>
      </c>
      <c r="F24" s="1">
        <v>6.7799999999999999E-2</v>
      </c>
      <c r="G24" s="1"/>
      <c r="H24">
        <v>20</v>
      </c>
    </row>
    <row r="27" spans="1:11" x14ac:dyDescent="0.25">
      <c r="A27" t="s">
        <v>0</v>
      </c>
      <c r="B27" t="s">
        <v>18</v>
      </c>
      <c r="C27" t="s">
        <v>2</v>
      </c>
      <c r="D27" t="s">
        <v>3</v>
      </c>
      <c r="E27" t="s">
        <v>56</v>
      </c>
      <c r="F27" t="s">
        <v>35</v>
      </c>
    </row>
    <row r="28" spans="1:11" x14ac:dyDescent="0.25">
      <c r="A28" t="s">
        <v>20</v>
      </c>
    </row>
    <row r="30" spans="1:11" x14ac:dyDescent="0.25">
      <c r="A30">
        <v>2008</v>
      </c>
      <c r="B30">
        <v>1</v>
      </c>
      <c r="C30" s="1">
        <v>-3.3300000000000003E-2</v>
      </c>
      <c r="D30" s="3">
        <v>190005</v>
      </c>
      <c r="E30" s="1">
        <v>-5.4600000000000003E-2</v>
      </c>
      <c r="F30" s="1">
        <v>1.6299999999999999E-2</v>
      </c>
      <c r="G30" s="1"/>
    </row>
    <row r="31" spans="1:11" x14ac:dyDescent="0.25">
      <c r="A31">
        <v>2008</v>
      </c>
      <c r="B31">
        <v>2</v>
      </c>
      <c r="C31" s="1">
        <v>-2.24E-2</v>
      </c>
      <c r="D31" s="3">
        <v>182418</v>
      </c>
      <c r="E31" s="1">
        <v>-1.3899999999999999E-2</v>
      </c>
      <c r="F31" s="1">
        <v>-4.0800000000000003E-2</v>
      </c>
      <c r="G31" s="1"/>
      <c r="K31">
        <f>40000/12</f>
        <v>3333.3333333333335</v>
      </c>
    </row>
    <row r="32" spans="1:11" x14ac:dyDescent="0.25">
      <c r="A32">
        <v>2008</v>
      </c>
      <c r="B32">
        <v>3</v>
      </c>
      <c r="C32" s="1">
        <v>1.3899999999999999E-2</v>
      </c>
      <c r="D32" s="3">
        <v>181628</v>
      </c>
      <c r="E32" s="1">
        <v>8.5000000000000006E-3</v>
      </c>
      <c r="F32" s="1">
        <v>2.6200000000000001E-2</v>
      </c>
      <c r="G32" s="1"/>
    </row>
    <row r="33" spans="1:7" x14ac:dyDescent="0.25">
      <c r="A33">
        <v>2008</v>
      </c>
      <c r="B33">
        <v>4</v>
      </c>
      <c r="C33" s="1">
        <v>2.7199999999999998E-2</v>
      </c>
      <c r="D33" s="3">
        <v>183237</v>
      </c>
      <c r="E33" s="1">
        <v>3.5700000000000003E-2</v>
      </c>
      <c r="F33" s="1">
        <v>8.6999999999999994E-3</v>
      </c>
      <c r="G33" s="1"/>
    </row>
    <row r="34" spans="1:7" x14ac:dyDescent="0.25">
      <c r="A34">
        <v>2008</v>
      </c>
      <c r="B34">
        <v>5</v>
      </c>
      <c r="C34" s="1">
        <v>1.4800000000000001E-2</v>
      </c>
      <c r="D34" s="3">
        <v>182623</v>
      </c>
      <c r="E34" s="1">
        <v>1.89E-2</v>
      </c>
      <c r="F34" s="1">
        <v>5.7000000000000002E-3</v>
      </c>
      <c r="G34" s="1"/>
    </row>
    <row r="35" spans="1:7" x14ac:dyDescent="0.25">
      <c r="A35">
        <v>2008</v>
      </c>
      <c r="B35">
        <v>6</v>
      </c>
      <c r="C35" s="1">
        <v>-4.7800000000000002E-2</v>
      </c>
      <c r="D35" s="3">
        <v>170556</v>
      </c>
      <c r="E35" s="1">
        <v>-6.4299999999999996E-2</v>
      </c>
      <c r="F35" s="1">
        <v>-1.03E-2</v>
      </c>
      <c r="G35" s="1"/>
    </row>
    <row r="36" spans="1:7" x14ac:dyDescent="0.25">
      <c r="A36">
        <v>2008</v>
      </c>
      <c r="B36">
        <v>7</v>
      </c>
      <c r="C36" s="1">
        <v>4.7000000000000002E-3</v>
      </c>
      <c r="D36" s="3">
        <v>168032</v>
      </c>
      <c r="E36" s="1">
        <v>4.3E-3</v>
      </c>
      <c r="F36" s="1">
        <v>5.7000000000000002E-3</v>
      </c>
      <c r="G36" s="1"/>
    </row>
    <row r="37" spans="1:7" x14ac:dyDescent="0.25">
      <c r="A37">
        <v>2008</v>
      </c>
      <c r="B37">
        <v>8</v>
      </c>
      <c r="C37" s="1">
        <v>1.8800000000000001E-2</v>
      </c>
      <c r="D37" s="3">
        <v>167862</v>
      </c>
      <c r="E37" s="1">
        <v>2.2100000000000002E-2</v>
      </c>
      <c r="F37" s="1">
        <v>1.18E-2</v>
      </c>
      <c r="G37" s="1"/>
    </row>
    <row r="38" spans="1:7" x14ac:dyDescent="0.25">
      <c r="A38">
        <v>2008</v>
      </c>
      <c r="B38">
        <v>9</v>
      </c>
      <c r="C38" s="1">
        <v>-5.1999999999999998E-2</v>
      </c>
      <c r="D38" s="3">
        <v>155807</v>
      </c>
      <c r="E38" s="1">
        <v>-5.7799999999999997E-2</v>
      </c>
      <c r="F38" s="1">
        <v>-3.9199999999999999E-2</v>
      </c>
      <c r="G38" s="1"/>
    </row>
    <row r="39" spans="1:7" x14ac:dyDescent="0.25">
      <c r="A39">
        <v>2008</v>
      </c>
      <c r="B39">
        <v>10</v>
      </c>
      <c r="C39" s="1">
        <v>-0.1003</v>
      </c>
      <c r="D39" s="3">
        <v>136842</v>
      </c>
      <c r="E39" s="1">
        <v>-0.1479</v>
      </c>
      <c r="F39" s="1">
        <v>1.1999999999999999E-3</v>
      </c>
      <c r="G39" s="1"/>
    </row>
    <row r="40" spans="1:7" x14ac:dyDescent="0.25">
      <c r="A40">
        <v>2008</v>
      </c>
      <c r="B40">
        <v>11</v>
      </c>
      <c r="C40" s="1">
        <v>-2.23E-2</v>
      </c>
      <c r="D40" s="3">
        <v>130458</v>
      </c>
      <c r="E40" s="1">
        <v>-3.56E-2</v>
      </c>
      <c r="F40" s="1">
        <v>1.8E-3</v>
      </c>
      <c r="G40" s="1"/>
    </row>
    <row r="41" spans="1:7" x14ac:dyDescent="0.25">
      <c r="A41">
        <v>2008</v>
      </c>
      <c r="B41">
        <v>12</v>
      </c>
      <c r="C41" s="1">
        <v>1.0699999999999999E-2</v>
      </c>
      <c r="D41" s="3">
        <v>128517</v>
      </c>
      <c r="E41" s="1">
        <v>8.8000000000000005E-3</v>
      </c>
      <c r="F41" s="1">
        <v>1.3899999999999999E-2</v>
      </c>
      <c r="G41" s="1"/>
    </row>
    <row r="42" spans="1:7" x14ac:dyDescent="0.25">
      <c r="A42">
        <v>2009</v>
      </c>
      <c r="B42">
        <v>1</v>
      </c>
      <c r="C42" s="1">
        <v>-3.0499999999999999E-2</v>
      </c>
      <c r="D42" s="3">
        <v>121264</v>
      </c>
      <c r="E42" s="1">
        <v>-5.96E-2</v>
      </c>
      <c r="F42" s="1">
        <v>3.73E-2</v>
      </c>
      <c r="G42" s="1"/>
    </row>
    <row r="43" spans="1:7" x14ac:dyDescent="0.25">
      <c r="A43">
        <v>2009</v>
      </c>
      <c r="B43">
        <v>2</v>
      </c>
      <c r="C43" s="1">
        <v>-6.4000000000000001E-2</v>
      </c>
      <c r="D43" s="3">
        <v>110167</v>
      </c>
      <c r="E43" s="1">
        <v>-9.2100000000000001E-2</v>
      </c>
      <c r="F43" s="1">
        <v>-4.5999999999999999E-3</v>
      </c>
      <c r="G43" s="1"/>
    </row>
    <row r="44" spans="1:7" x14ac:dyDescent="0.25">
      <c r="A44">
        <v>2009</v>
      </c>
      <c r="B44">
        <v>3</v>
      </c>
      <c r="C44" s="1">
        <v>4.8099999999999997E-2</v>
      </c>
      <c r="D44" s="3">
        <v>112129</v>
      </c>
      <c r="E44" s="1">
        <v>7.3999999999999996E-2</v>
      </c>
      <c r="F44" s="1">
        <v>-2E-3</v>
      </c>
      <c r="G44" s="1"/>
    </row>
    <row r="45" spans="1:7" x14ac:dyDescent="0.25">
      <c r="A45">
        <v>2009</v>
      </c>
      <c r="B45">
        <v>4</v>
      </c>
      <c r="C45" s="1">
        <v>4.4999999999999998E-2</v>
      </c>
      <c r="D45" s="3">
        <v>113844</v>
      </c>
      <c r="E45" s="1">
        <v>5.8099999999999999E-2</v>
      </c>
      <c r="F45" s="1">
        <v>1.7899999999999999E-2</v>
      </c>
      <c r="G45" s="1"/>
    </row>
    <row r="46" spans="1:7" x14ac:dyDescent="0.25">
      <c r="A46">
        <v>2009</v>
      </c>
      <c r="B46">
        <v>5</v>
      </c>
      <c r="C46" s="1">
        <v>3.9600000000000003E-2</v>
      </c>
      <c r="D46" s="3">
        <v>115020</v>
      </c>
      <c r="E46" s="1">
        <v>5.3999999999999999E-2</v>
      </c>
      <c r="F46" s="1">
        <v>8.6E-3</v>
      </c>
      <c r="G46" s="1"/>
    </row>
    <row r="47" spans="1:7" x14ac:dyDescent="0.25">
      <c r="A47">
        <v>2009</v>
      </c>
      <c r="B47">
        <v>6</v>
      </c>
      <c r="C47" s="1">
        <v>-8.9999999999999993E-3</v>
      </c>
      <c r="D47" s="3">
        <v>110654</v>
      </c>
      <c r="E47" s="1">
        <v>-8.6999999999999994E-3</v>
      </c>
      <c r="F47" s="1">
        <v>-9.7000000000000003E-3</v>
      </c>
      <c r="G47" s="1"/>
    </row>
    <row r="48" spans="1:7" x14ac:dyDescent="0.25">
      <c r="A48">
        <v>2009</v>
      </c>
      <c r="B48">
        <v>7</v>
      </c>
      <c r="C48" s="1">
        <v>4.0500000000000001E-2</v>
      </c>
      <c r="D48" s="3">
        <v>111801</v>
      </c>
      <c r="E48" s="1">
        <v>5.0500000000000003E-2</v>
      </c>
      <c r="F48" s="1">
        <v>1.7899999999999999E-2</v>
      </c>
      <c r="G48" s="1"/>
    </row>
    <row r="49" spans="1:7" x14ac:dyDescent="0.25">
      <c r="A49">
        <v>2009</v>
      </c>
      <c r="B49">
        <v>8</v>
      </c>
      <c r="C49" s="1">
        <v>2.41E-2</v>
      </c>
      <c r="D49" s="3">
        <v>111165</v>
      </c>
      <c r="E49" s="1">
        <v>2.92E-2</v>
      </c>
      <c r="F49" s="1">
        <v>1.23E-2</v>
      </c>
      <c r="G49" s="1"/>
    </row>
    <row r="50" spans="1:7" x14ac:dyDescent="0.25">
      <c r="A50">
        <v>2009</v>
      </c>
      <c r="B50">
        <v>9</v>
      </c>
      <c r="C50" s="1">
        <v>3.3000000000000002E-2</v>
      </c>
      <c r="D50" s="3">
        <v>111496</v>
      </c>
      <c r="E50" s="1">
        <v>3.4200000000000001E-2</v>
      </c>
      <c r="F50" s="1">
        <v>0.03</v>
      </c>
      <c r="G50" s="1"/>
    </row>
    <row r="51" spans="1:7" x14ac:dyDescent="0.25">
      <c r="A51">
        <v>2009</v>
      </c>
      <c r="B51">
        <v>10</v>
      </c>
      <c r="C51" s="1">
        <v>-7.0000000000000001E-3</v>
      </c>
      <c r="D51" s="3">
        <v>107383</v>
      </c>
      <c r="E51" s="1">
        <v>-8.0000000000000004E-4</v>
      </c>
      <c r="F51" s="1">
        <v>-2.1700000000000001E-2</v>
      </c>
      <c r="G51" s="1"/>
    </row>
    <row r="52" spans="1:7" x14ac:dyDescent="0.25">
      <c r="A52">
        <v>2009</v>
      </c>
      <c r="B52">
        <v>11</v>
      </c>
      <c r="C52" s="1">
        <v>5.0200000000000002E-2</v>
      </c>
      <c r="D52" s="3">
        <v>109438</v>
      </c>
      <c r="E52" s="1">
        <v>6.6199999999999995E-2</v>
      </c>
      <c r="F52" s="1">
        <v>1.1299999999999999E-2</v>
      </c>
      <c r="G52" s="1"/>
    </row>
    <row r="53" spans="1:7" x14ac:dyDescent="0.25">
      <c r="A53">
        <v>2009</v>
      </c>
      <c r="B53">
        <v>12</v>
      </c>
      <c r="C53" s="1">
        <v>6.4000000000000003E-3</v>
      </c>
      <c r="D53" s="3">
        <v>106805</v>
      </c>
      <c r="E53" s="1">
        <v>8.2000000000000007E-3</v>
      </c>
      <c r="F53" s="1">
        <v>1.6999999999999999E-3</v>
      </c>
      <c r="G53" s="1"/>
    </row>
    <row r="54" spans="1:7" x14ac:dyDescent="0.25">
      <c r="A54">
        <v>2010</v>
      </c>
      <c r="B54">
        <v>1</v>
      </c>
      <c r="C54" s="1">
        <v>-1.7000000000000001E-2</v>
      </c>
      <c r="D54" s="3">
        <v>101658</v>
      </c>
      <c r="E54" s="1">
        <v>-2.6599999999999999E-2</v>
      </c>
      <c r="F54" s="1">
        <v>5.4000000000000003E-3</v>
      </c>
      <c r="G54" s="1"/>
    </row>
    <row r="55" spans="1:7" x14ac:dyDescent="0.25">
      <c r="A55">
        <v>2010</v>
      </c>
      <c r="B55">
        <v>2</v>
      </c>
      <c r="C55" s="1">
        <v>1.37E-2</v>
      </c>
      <c r="D55" s="3">
        <v>99721</v>
      </c>
      <c r="E55" s="1">
        <v>1.5599999999999999E-2</v>
      </c>
      <c r="F55" s="1">
        <v>9.4999999999999998E-3</v>
      </c>
      <c r="G55" s="1"/>
    </row>
    <row r="56" spans="1:7" x14ac:dyDescent="0.25">
      <c r="A56">
        <v>2010</v>
      </c>
      <c r="B56">
        <v>3</v>
      </c>
      <c r="C56" s="1">
        <v>2.8199999999999999E-2</v>
      </c>
      <c r="D56" s="3">
        <v>99201</v>
      </c>
      <c r="E56" s="1">
        <v>4.3799999999999999E-2</v>
      </c>
      <c r="F56" s="1">
        <v>-7.1999999999999998E-3</v>
      </c>
      <c r="G56" s="1"/>
    </row>
    <row r="57" spans="1:7" x14ac:dyDescent="0.25">
      <c r="A57">
        <v>2010</v>
      </c>
      <c r="B57">
        <v>4</v>
      </c>
      <c r="C57" s="1">
        <v>1.4500000000000001E-2</v>
      </c>
      <c r="D57" s="3">
        <v>97307</v>
      </c>
      <c r="E57" s="1">
        <v>1.6199999999999999E-2</v>
      </c>
      <c r="F57" s="1">
        <v>1.0500000000000001E-2</v>
      </c>
      <c r="G57" s="1"/>
    </row>
    <row r="58" spans="1:7" x14ac:dyDescent="0.25">
      <c r="A58">
        <v>2010</v>
      </c>
      <c r="B58">
        <v>5</v>
      </c>
      <c r="C58" s="1">
        <v>-5.1499999999999997E-2</v>
      </c>
      <c r="D58" s="3">
        <v>88965</v>
      </c>
      <c r="E58" s="1">
        <v>-7.5999999999999998E-2</v>
      </c>
      <c r="F58" s="1">
        <v>7.6E-3</v>
      </c>
      <c r="G58" s="1"/>
    </row>
    <row r="59" spans="1:7" x14ac:dyDescent="0.25">
      <c r="A59">
        <v>2010</v>
      </c>
      <c r="B59">
        <v>6</v>
      </c>
      <c r="C59" s="1">
        <v>-2.7099999999999999E-2</v>
      </c>
      <c r="D59" s="3">
        <v>83223</v>
      </c>
      <c r="E59" s="1">
        <v>-3.9399999999999998E-2</v>
      </c>
      <c r="F59" s="1">
        <v>1E-4</v>
      </c>
      <c r="G59" s="1"/>
    </row>
    <row r="60" spans="1:7" x14ac:dyDescent="0.25">
      <c r="A60">
        <v>2010</v>
      </c>
      <c r="B60">
        <v>7</v>
      </c>
      <c r="C60" s="1">
        <v>4.5699999999999998E-2</v>
      </c>
      <c r="D60" s="3">
        <v>83695</v>
      </c>
      <c r="E60" s="1">
        <v>6.0999999999999999E-2</v>
      </c>
      <c r="F60" s="1">
        <v>1.34E-2</v>
      </c>
      <c r="G60" s="1"/>
    </row>
    <row r="61" spans="1:7" x14ac:dyDescent="0.25">
      <c r="A61">
        <v>2010</v>
      </c>
      <c r="B61">
        <v>8</v>
      </c>
      <c r="C61" s="1">
        <v>-1.52E-2</v>
      </c>
      <c r="D61" s="3">
        <v>79090</v>
      </c>
      <c r="E61" s="1">
        <v>-3.2599999999999997E-2</v>
      </c>
      <c r="F61" s="1">
        <v>2.3400000000000001E-2</v>
      </c>
      <c r="G61" s="1"/>
    </row>
    <row r="62" spans="1:7" x14ac:dyDescent="0.25">
      <c r="A62">
        <v>2010</v>
      </c>
      <c r="B62">
        <v>9</v>
      </c>
      <c r="C62" s="1">
        <v>5.2400000000000002E-2</v>
      </c>
      <c r="D62" s="3">
        <v>79903</v>
      </c>
      <c r="E62" s="1">
        <v>7.9500000000000001E-2</v>
      </c>
      <c r="F62" s="1">
        <v>-4.3E-3</v>
      </c>
      <c r="G62" s="1"/>
    </row>
    <row r="63" spans="1:7" x14ac:dyDescent="0.25">
      <c r="A63">
        <v>2010</v>
      </c>
      <c r="B63">
        <v>10</v>
      </c>
      <c r="C63" s="1">
        <v>1.7999999999999999E-2</v>
      </c>
      <c r="D63" s="3">
        <v>78011</v>
      </c>
      <c r="E63" s="1">
        <v>2.75E-2</v>
      </c>
      <c r="F63" s="1">
        <v>-3.5000000000000001E-3</v>
      </c>
      <c r="G63" s="1"/>
    </row>
    <row r="64" spans="1:7" x14ac:dyDescent="0.25">
      <c r="A64">
        <v>2010</v>
      </c>
      <c r="B64">
        <v>11</v>
      </c>
      <c r="C64" s="1">
        <v>-8.8000000000000005E-3</v>
      </c>
      <c r="D64" s="3">
        <v>73994</v>
      </c>
      <c r="E64" s="1">
        <v>-5.1000000000000004E-3</v>
      </c>
      <c r="F64" s="1">
        <v>-1.7399999999999999E-2</v>
      </c>
      <c r="G64" s="1"/>
    </row>
    <row r="65" spans="1:7" x14ac:dyDescent="0.25">
      <c r="A65">
        <v>2010</v>
      </c>
      <c r="B65">
        <v>12</v>
      </c>
      <c r="C65" s="1">
        <v>3.5499999999999997E-2</v>
      </c>
      <c r="D65" s="3">
        <v>73285</v>
      </c>
      <c r="E65" s="1">
        <v>5.6899999999999999E-2</v>
      </c>
      <c r="F65" s="1">
        <v>-1.54E-2</v>
      </c>
      <c r="G65" s="1"/>
    </row>
    <row r="66" spans="1:7" x14ac:dyDescent="0.25">
      <c r="A66">
        <v>2011</v>
      </c>
      <c r="B66">
        <v>1</v>
      </c>
      <c r="C66" s="1">
        <v>1.26E-2</v>
      </c>
      <c r="D66" s="3">
        <v>70878</v>
      </c>
      <c r="E66" s="1">
        <v>2.0899999999999998E-2</v>
      </c>
      <c r="F66" s="1">
        <v>-6.6E-3</v>
      </c>
      <c r="G66" s="1"/>
    </row>
    <row r="67" spans="1:7" x14ac:dyDescent="0.25">
      <c r="A67">
        <v>2011</v>
      </c>
      <c r="B67">
        <v>2</v>
      </c>
      <c r="C67" s="1">
        <v>2.0799999999999999E-2</v>
      </c>
      <c r="D67" s="3">
        <v>69019</v>
      </c>
      <c r="E67" s="1">
        <v>2.3199999999999998E-2</v>
      </c>
      <c r="F67" s="1">
        <v>1.5100000000000001E-2</v>
      </c>
      <c r="G67" s="1"/>
    </row>
    <row r="68" spans="1:7" x14ac:dyDescent="0.25">
      <c r="A68">
        <v>2011</v>
      </c>
      <c r="B68">
        <v>3</v>
      </c>
      <c r="C68" s="1">
        <v>2E-3</v>
      </c>
      <c r="D68" s="3">
        <v>65825</v>
      </c>
      <c r="E68" s="1">
        <v>4.0000000000000001E-3</v>
      </c>
      <c r="F68" s="1">
        <v>-2.8E-3</v>
      </c>
      <c r="G68" s="1"/>
    </row>
    <row r="69" spans="1:7" x14ac:dyDescent="0.25">
      <c r="A69">
        <v>2011</v>
      </c>
      <c r="B69">
        <v>4</v>
      </c>
      <c r="C69" s="1">
        <v>3.0499999999999999E-2</v>
      </c>
      <c r="D69" s="3">
        <v>64500</v>
      </c>
      <c r="E69" s="1">
        <v>3.6499999999999998E-2</v>
      </c>
      <c r="F69" s="1">
        <v>1.6E-2</v>
      </c>
      <c r="G69" s="1"/>
    </row>
    <row r="70" spans="1:7" x14ac:dyDescent="0.25">
      <c r="A70">
        <v>2011</v>
      </c>
      <c r="B70">
        <v>5</v>
      </c>
      <c r="C70" s="1">
        <v>5.7000000000000002E-3</v>
      </c>
      <c r="D70" s="3">
        <v>61535</v>
      </c>
      <c r="E70" s="1">
        <v>1.9E-3</v>
      </c>
      <c r="F70" s="1">
        <v>1.5100000000000001E-2</v>
      </c>
      <c r="G70" s="1"/>
    </row>
    <row r="71" spans="1:7" x14ac:dyDescent="0.25">
      <c r="A71">
        <v>2011</v>
      </c>
      <c r="B71">
        <v>6</v>
      </c>
      <c r="C71" s="1">
        <v>-3.8E-3</v>
      </c>
      <c r="D71" s="3">
        <v>57967</v>
      </c>
      <c r="E71" s="1">
        <v>-6.6E-3</v>
      </c>
      <c r="F71" s="1">
        <v>3.0000000000000001E-3</v>
      </c>
      <c r="G71" s="1"/>
    </row>
    <row r="72" spans="1:7" x14ac:dyDescent="0.25">
      <c r="A72">
        <v>2011</v>
      </c>
      <c r="B72">
        <v>7</v>
      </c>
      <c r="C72" s="1">
        <v>-1.8800000000000001E-2</v>
      </c>
      <c r="D72" s="3">
        <v>53545</v>
      </c>
      <c r="E72" s="1">
        <v>-3.0499999999999999E-2</v>
      </c>
      <c r="F72" s="1">
        <v>9.7000000000000003E-3</v>
      </c>
      <c r="G72" s="1"/>
    </row>
    <row r="73" spans="1:7" x14ac:dyDescent="0.25">
      <c r="A73">
        <v>2011</v>
      </c>
      <c r="B73">
        <v>8</v>
      </c>
      <c r="C73" s="1">
        <v>-1.3599999999999999E-2</v>
      </c>
      <c r="D73" s="3">
        <v>49485</v>
      </c>
      <c r="E73" s="1">
        <v>-2.5499999999999998E-2</v>
      </c>
      <c r="F73" s="1">
        <v>1.4E-2</v>
      </c>
      <c r="G73" s="1"/>
    </row>
    <row r="74" spans="1:7" x14ac:dyDescent="0.25">
      <c r="A74">
        <v>2011</v>
      </c>
      <c r="B74">
        <v>9</v>
      </c>
      <c r="C74" s="1">
        <v>-2.7900000000000001E-2</v>
      </c>
      <c r="D74" s="3">
        <v>44770</v>
      </c>
      <c r="E74" s="1">
        <v>-4.3299999999999998E-2</v>
      </c>
      <c r="F74" s="1">
        <v>6.4999999999999997E-3</v>
      </c>
      <c r="G74" s="1"/>
    </row>
    <row r="75" spans="1:7" x14ac:dyDescent="0.25">
      <c r="A75">
        <v>2011</v>
      </c>
      <c r="B75">
        <v>10</v>
      </c>
      <c r="C75" s="1">
        <v>5.7000000000000002E-2</v>
      </c>
      <c r="D75" s="3">
        <v>43989</v>
      </c>
      <c r="E75" s="1">
        <v>8.5500000000000007E-2</v>
      </c>
      <c r="F75" s="1">
        <v>-3.5999999999999999E-3</v>
      </c>
      <c r="G75" s="1"/>
    </row>
    <row r="76" spans="1:7" x14ac:dyDescent="0.25">
      <c r="A76">
        <v>2011</v>
      </c>
      <c r="B76">
        <v>11</v>
      </c>
      <c r="C76" s="1">
        <v>1.0699999999999999E-2</v>
      </c>
      <c r="D76" s="3">
        <v>41129</v>
      </c>
      <c r="E76" s="1">
        <v>1.26E-2</v>
      </c>
      <c r="F76" s="1">
        <v>6.4999999999999997E-3</v>
      </c>
      <c r="G76" s="1"/>
    </row>
    <row r="77" spans="1:7" x14ac:dyDescent="0.25">
      <c r="A77">
        <v>2011</v>
      </c>
      <c r="B77">
        <v>12</v>
      </c>
      <c r="C77" s="1">
        <v>1.8599999999999998E-2</v>
      </c>
      <c r="D77" s="3">
        <v>38559</v>
      </c>
      <c r="E77" s="1">
        <v>1.8100000000000002E-2</v>
      </c>
      <c r="F77" s="1">
        <v>1.9599999999999999E-2</v>
      </c>
      <c r="G77" s="1"/>
    </row>
    <row r="78" spans="1:7" s="18" customFormat="1" x14ac:dyDescent="0.25">
      <c r="A78" s="18">
        <v>2012</v>
      </c>
      <c r="B78" s="18">
        <v>1</v>
      </c>
      <c r="C78" s="19">
        <v>2.4299999999999999E-2</v>
      </c>
      <c r="D78" s="20">
        <v>36163</v>
      </c>
      <c r="E78" s="19">
        <v>2.53E-2</v>
      </c>
      <c r="F78" s="19">
        <v>2.1999999999999999E-2</v>
      </c>
      <c r="G78" s="19"/>
    </row>
    <row r="79" spans="1:7" x14ac:dyDescent="0.25">
      <c r="A79">
        <v>2012</v>
      </c>
      <c r="B79">
        <v>2</v>
      </c>
      <c r="C79" s="1">
        <v>1.8499999999999999E-2</v>
      </c>
      <c r="D79" s="3">
        <v>33500</v>
      </c>
      <c r="E79" s="1">
        <v>2.6599999999999999E-2</v>
      </c>
      <c r="F79" s="1">
        <v>-2.9999999999999997E-4</v>
      </c>
      <c r="G79" s="1"/>
    </row>
    <row r="80" spans="1:7" x14ac:dyDescent="0.25">
      <c r="A80">
        <v>2012</v>
      </c>
      <c r="B80">
        <v>3</v>
      </c>
      <c r="C80" s="1">
        <v>1.34E-2</v>
      </c>
      <c r="D80" s="3">
        <v>30616</v>
      </c>
      <c r="E80" s="1">
        <v>2.2800000000000001E-2</v>
      </c>
      <c r="F80" s="1">
        <v>-9.1999999999999998E-3</v>
      </c>
      <c r="G80" s="1"/>
    </row>
    <row r="81" spans="1:7" x14ac:dyDescent="0.25">
      <c r="A81">
        <v>2012</v>
      </c>
      <c r="B81">
        <v>4</v>
      </c>
      <c r="C81" s="1">
        <v>3.2000000000000002E-3</v>
      </c>
      <c r="D81" s="3">
        <v>27381</v>
      </c>
      <c r="E81" s="1">
        <v>0</v>
      </c>
      <c r="F81" s="1">
        <v>1.12E-2</v>
      </c>
      <c r="G81" s="1"/>
    </row>
    <row r="82" spans="1:7" x14ac:dyDescent="0.25">
      <c r="A82">
        <v>2012</v>
      </c>
      <c r="B82">
        <v>5</v>
      </c>
      <c r="C82" s="1">
        <v>-3.44E-2</v>
      </c>
      <c r="D82" s="3">
        <v>23106</v>
      </c>
      <c r="E82" s="1">
        <v>-5.1200000000000002E-2</v>
      </c>
      <c r="F82" s="1">
        <v>6.8999999999999999E-3</v>
      </c>
      <c r="G82" s="1"/>
    </row>
    <row r="83" spans="1:7" x14ac:dyDescent="0.25">
      <c r="A83">
        <v>2012</v>
      </c>
      <c r="B83">
        <v>6</v>
      </c>
      <c r="C83" s="1">
        <v>2.8000000000000001E-2</v>
      </c>
      <c r="D83" s="3">
        <v>20420</v>
      </c>
      <c r="E83" s="1">
        <v>4.0800000000000003E-2</v>
      </c>
      <c r="F83" s="1">
        <v>-1.6999999999999999E-3</v>
      </c>
      <c r="G83" s="1"/>
    </row>
    <row r="84" spans="1:7" x14ac:dyDescent="0.25">
      <c r="A84">
        <v>2012</v>
      </c>
      <c r="B84">
        <v>7</v>
      </c>
      <c r="C84" s="1">
        <v>1.0999999999999999E-2</v>
      </c>
      <c r="D84" s="3">
        <v>17312</v>
      </c>
      <c r="E84" s="1">
        <v>9.9000000000000008E-3</v>
      </c>
      <c r="F84" s="1">
        <v>1.3899999999999999E-2</v>
      </c>
      <c r="G84" s="1"/>
    </row>
    <row r="85" spans="1:7" x14ac:dyDescent="0.25">
      <c r="A85">
        <v>2012</v>
      </c>
      <c r="B85">
        <v>8</v>
      </c>
      <c r="C85" s="1">
        <v>1.1299999999999999E-2</v>
      </c>
      <c r="D85" s="3">
        <v>14175</v>
      </c>
      <c r="E85" s="1">
        <v>1.5299999999999999E-2</v>
      </c>
      <c r="F85" s="1">
        <v>1.8E-3</v>
      </c>
      <c r="G85" s="1"/>
    </row>
    <row r="86" spans="1:7" x14ac:dyDescent="0.25">
      <c r="A86">
        <v>2012</v>
      </c>
      <c r="B86">
        <v>9</v>
      </c>
      <c r="C86" s="1">
        <v>1.3899999999999999E-2</v>
      </c>
      <c r="D86" s="3">
        <v>11039</v>
      </c>
      <c r="E86" s="1">
        <v>1.6799999999999999E-2</v>
      </c>
      <c r="F86" s="1">
        <v>6.6E-3</v>
      </c>
      <c r="G86" s="1"/>
    </row>
    <row r="87" spans="1:7" x14ac:dyDescent="0.25">
      <c r="A87">
        <v>2012</v>
      </c>
      <c r="B87">
        <v>10</v>
      </c>
      <c r="C87" s="1">
        <v>-7.9000000000000008E-3</v>
      </c>
      <c r="D87" s="3">
        <v>7619</v>
      </c>
      <c r="E87" s="1">
        <v>-1.18E-2</v>
      </c>
      <c r="F87" s="1">
        <v>1.8E-3</v>
      </c>
      <c r="G87" s="1"/>
    </row>
    <row r="88" spans="1:7" x14ac:dyDescent="0.25">
      <c r="A88">
        <v>2012</v>
      </c>
      <c r="B88">
        <v>11</v>
      </c>
      <c r="C88" s="1">
        <v>6.1000000000000004E-3</v>
      </c>
      <c r="D88" s="3">
        <v>4332</v>
      </c>
      <c r="E88" s="1">
        <v>2.3999999999999998E-3</v>
      </c>
      <c r="F88" s="1">
        <v>1.49E-2</v>
      </c>
      <c r="G88" s="1"/>
    </row>
    <row r="89" spans="1:7" x14ac:dyDescent="0.25">
      <c r="A89" s="10">
        <v>2012</v>
      </c>
      <c r="B89" s="10">
        <v>12</v>
      </c>
      <c r="C89" s="11">
        <v>4.0000000000000002E-4</v>
      </c>
      <c r="D89" s="14">
        <v>1000</v>
      </c>
      <c r="E89" s="11">
        <v>5.4999999999999997E-3</v>
      </c>
      <c r="F89" s="11">
        <v>-1.1900000000000001E-2</v>
      </c>
      <c r="G89" s="19"/>
    </row>
    <row r="90" spans="1:7" x14ac:dyDescent="0.25">
      <c r="A90" t="s">
        <v>21</v>
      </c>
      <c r="C90" s="1"/>
      <c r="D90" s="3"/>
      <c r="E90" s="1"/>
      <c r="F90" s="1"/>
      <c r="G90" s="1"/>
    </row>
    <row r="91" spans="1:7" x14ac:dyDescent="0.25">
      <c r="A91" s="21" t="s">
        <v>36</v>
      </c>
      <c r="B91" s="21"/>
      <c r="C91" s="21"/>
      <c r="D91" s="21"/>
      <c r="E91" s="21"/>
    </row>
    <row r="92" spans="1:7" x14ac:dyDescent="0.25">
      <c r="A92" s="21" t="s">
        <v>0</v>
      </c>
      <c r="B92" s="21" t="s">
        <v>18</v>
      </c>
      <c r="C92" s="22" t="s">
        <v>2</v>
      </c>
      <c r="D92" s="23" t="s">
        <v>3</v>
      </c>
      <c r="E92" s="22" t="s">
        <v>56</v>
      </c>
      <c r="F92" s="1" t="s">
        <v>35</v>
      </c>
      <c r="G92" s="1"/>
    </row>
    <row r="93" spans="1:7" x14ac:dyDescent="0.25">
      <c r="A93" s="21" t="s">
        <v>20</v>
      </c>
      <c r="B93" s="21"/>
      <c r="C93" s="22"/>
      <c r="D93" s="23"/>
      <c r="E93" s="22"/>
      <c r="F93" s="1"/>
      <c r="G93" s="1"/>
    </row>
    <row r="94" spans="1:7" x14ac:dyDescent="0.25">
      <c r="A94" s="21"/>
      <c r="B94" s="21"/>
      <c r="C94" s="22"/>
      <c r="D94" s="23"/>
      <c r="E94" s="22"/>
      <c r="F94" s="1"/>
      <c r="G94" s="1"/>
    </row>
    <row r="95" spans="1:7" x14ac:dyDescent="0.25">
      <c r="A95" s="21">
        <v>2015</v>
      </c>
      <c r="B95" s="21">
        <v>1</v>
      </c>
      <c r="C95" s="22">
        <v>-1.43E-2</v>
      </c>
      <c r="D95" s="23">
        <v>193814</v>
      </c>
      <c r="E95" s="22">
        <v>-2.69E-2</v>
      </c>
      <c r="F95" s="1">
        <v>1.5100000000000001E-2</v>
      </c>
      <c r="G95" s="1"/>
    </row>
    <row r="96" spans="1:7" x14ac:dyDescent="0.25">
      <c r="A96" s="21">
        <v>2015</v>
      </c>
      <c r="B96" s="21">
        <v>2</v>
      </c>
      <c r="C96" s="22">
        <v>3.1199999999999999E-2</v>
      </c>
      <c r="D96" s="23">
        <v>196525</v>
      </c>
      <c r="E96" s="22">
        <v>4.9399999999999999E-2</v>
      </c>
      <c r="F96" s="1">
        <v>-9.5999999999999992E-3</v>
      </c>
      <c r="G96" s="1"/>
    </row>
    <row r="97" spans="1:7" x14ac:dyDescent="0.25">
      <c r="A97" s="21">
        <v>2015</v>
      </c>
      <c r="B97" s="21">
        <v>3</v>
      </c>
      <c r="C97" s="22">
        <v>-8.0000000000000002E-3</v>
      </c>
      <c r="D97" s="23">
        <v>191626</v>
      </c>
      <c r="E97" s="22">
        <v>-1.24E-2</v>
      </c>
      <c r="F97" s="1">
        <v>2.5000000000000001E-3</v>
      </c>
      <c r="G97" s="1"/>
    </row>
    <row r="98" spans="1:7" x14ac:dyDescent="0.25">
      <c r="A98" s="21">
        <v>2015</v>
      </c>
      <c r="B98" s="21">
        <v>4</v>
      </c>
      <c r="C98" s="22">
        <v>-1.6999999999999999E-3</v>
      </c>
      <c r="D98" s="23">
        <v>187969</v>
      </c>
      <c r="E98" s="22">
        <v>-4.0000000000000002E-4</v>
      </c>
      <c r="F98" s="1">
        <v>-4.5999999999999999E-3</v>
      </c>
      <c r="G98" s="1"/>
    </row>
    <row r="99" spans="1:7" x14ac:dyDescent="0.25">
      <c r="A99" s="21">
        <v>2015</v>
      </c>
      <c r="B99" s="21">
        <v>5</v>
      </c>
      <c r="C99" s="22">
        <v>4.8999999999999998E-3</v>
      </c>
      <c r="D99" s="23">
        <v>185553</v>
      </c>
      <c r="E99" s="22">
        <v>8.3000000000000001E-3</v>
      </c>
      <c r="F99" s="1">
        <v>-3.0999999999999999E-3</v>
      </c>
      <c r="G99" s="1"/>
    </row>
    <row r="100" spans="1:7" x14ac:dyDescent="0.25">
      <c r="A100" s="21">
        <v>2015</v>
      </c>
      <c r="B100" s="21">
        <v>6</v>
      </c>
      <c r="C100" s="22">
        <v>-1.66E-2</v>
      </c>
      <c r="D100" s="23">
        <v>179144</v>
      </c>
      <c r="E100" s="22">
        <v>-2.3099999999999999E-2</v>
      </c>
      <c r="F100" s="1">
        <v>-1.1000000000000001E-3</v>
      </c>
      <c r="G100" s="1"/>
    </row>
    <row r="101" spans="1:7" x14ac:dyDescent="0.25">
      <c r="A101" s="21">
        <v>2015</v>
      </c>
      <c r="B101" s="21">
        <v>7</v>
      </c>
      <c r="C101" s="22">
        <v>2.7E-2</v>
      </c>
      <c r="D101" s="23">
        <v>180651</v>
      </c>
      <c r="E101" s="22">
        <v>3.5799999999999998E-2</v>
      </c>
      <c r="F101" s="1">
        <v>6.7000000000000002E-3</v>
      </c>
      <c r="G101" s="1"/>
    </row>
    <row r="102" spans="1:7" x14ac:dyDescent="0.25">
      <c r="A102" s="21">
        <v>2015</v>
      </c>
      <c r="B102" s="21">
        <v>8</v>
      </c>
      <c r="C102" s="22">
        <v>-4.19E-2</v>
      </c>
      <c r="D102" s="23">
        <v>169757</v>
      </c>
      <c r="E102" s="22">
        <v>-6.0400000000000002E-2</v>
      </c>
      <c r="F102" s="1">
        <v>2.3999999999999998E-3</v>
      </c>
      <c r="G102" s="1"/>
    </row>
    <row r="103" spans="1:7" x14ac:dyDescent="0.25">
      <c r="A103" s="21">
        <v>2015</v>
      </c>
      <c r="B103" s="21">
        <v>9</v>
      </c>
      <c r="C103" s="22">
        <v>-2.0999999999999999E-3</v>
      </c>
      <c r="D103" s="23">
        <v>166071</v>
      </c>
      <c r="E103" s="22">
        <v>-6.0000000000000001E-3</v>
      </c>
      <c r="F103" s="1">
        <v>6.6E-3</v>
      </c>
      <c r="G103" s="1"/>
    </row>
    <row r="104" spans="1:7" x14ac:dyDescent="0.25">
      <c r="A104" s="21">
        <v>2015</v>
      </c>
      <c r="B104" s="21">
        <v>10</v>
      </c>
      <c r="C104" s="22">
        <v>5.33E-2</v>
      </c>
      <c r="D104" s="23">
        <v>171596</v>
      </c>
      <c r="E104" s="22">
        <v>7.5800000000000006E-2</v>
      </c>
      <c r="F104" s="1">
        <v>3.8E-3</v>
      </c>
      <c r="G104" s="1"/>
    </row>
    <row r="105" spans="1:7" x14ac:dyDescent="0.25">
      <c r="A105" s="21">
        <v>2015</v>
      </c>
      <c r="B105" s="21">
        <v>11</v>
      </c>
      <c r="C105" s="22">
        <v>3.5999999999999999E-3</v>
      </c>
      <c r="D105" s="23">
        <v>168884</v>
      </c>
      <c r="E105" s="22">
        <v>3.8999999999999998E-3</v>
      </c>
      <c r="F105" s="1">
        <v>3.0000000000000001E-3</v>
      </c>
      <c r="G105" s="1"/>
    </row>
    <row r="106" spans="1:7" x14ac:dyDescent="0.25">
      <c r="A106" s="21">
        <v>2015</v>
      </c>
      <c r="B106" s="21">
        <v>12</v>
      </c>
      <c r="C106" s="22">
        <v>-5.5999999999999999E-3</v>
      </c>
      <c r="D106" s="23">
        <v>164604</v>
      </c>
      <c r="E106" s="22">
        <v>-1.0800000000000001E-2</v>
      </c>
      <c r="F106" s="1">
        <v>6.6E-3</v>
      </c>
      <c r="G106" s="1"/>
    </row>
    <row r="107" spans="1:7" x14ac:dyDescent="0.25">
      <c r="A107" s="21">
        <v>2016</v>
      </c>
      <c r="B107" s="21">
        <v>1</v>
      </c>
      <c r="C107" s="22">
        <v>-1.61E-2</v>
      </c>
      <c r="D107" s="23">
        <v>158618</v>
      </c>
      <c r="E107" s="22">
        <v>-2.8500000000000001E-2</v>
      </c>
      <c r="F107" s="1">
        <v>1.29E-2</v>
      </c>
      <c r="G107" s="1"/>
    </row>
    <row r="108" spans="1:7" x14ac:dyDescent="0.25">
      <c r="A108" s="21">
        <v>2016</v>
      </c>
      <c r="B108" s="21">
        <v>2</v>
      </c>
      <c r="C108" s="22">
        <v>1.9E-3</v>
      </c>
      <c r="D108" s="23">
        <v>155592</v>
      </c>
      <c r="E108" s="22">
        <v>2.8E-3</v>
      </c>
      <c r="F108" s="1">
        <v>1E-4</v>
      </c>
      <c r="G108" s="1"/>
    </row>
    <row r="109" spans="1:7" x14ac:dyDescent="0.25">
      <c r="A109" s="21">
        <v>2016</v>
      </c>
      <c r="B109" s="21">
        <v>3</v>
      </c>
      <c r="C109" s="22">
        <v>3.9600000000000003E-2</v>
      </c>
      <c r="D109" s="23">
        <v>158424</v>
      </c>
      <c r="E109" s="22">
        <v>5.5899999999999998E-2</v>
      </c>
      <c r="F109" s="1">
        <v>3.0000000000000001E-3</v>
      </c>
      <c r="G109" s="1"/>
    </row>
    <row r="110" spans="1:7" x14ac:dyDescent="0.25">
      <c r="A110" s="21">
        <v>2016</v>
      </c>
      <c r="B110" s="21">
        <v>4</v>
      </c>
      <c r="C110" s="22">
        <v>5.5999999999999999E-3</v>
      </c>
      <c r="D110" s="23">
        <v>155974</v>
      </c>
      <c r="E110" s="22">
        <v>5.1999999999999998E-3</v>
      </c>
      <c r="F110" s="1">
        <v>6.4000000000000003E-3</v>
      </c>
      <c r="G110" s="1"/>
    </row>
    <row r="111" spans="1:7" x14ac:dyDescent="0.25">
      <c r="A111" s="21">
        <v>2016</v>
      </c>
      <c r="B111" s="21">
        <v>5</v>
      </c>
      <c r="C111" s="22">
        <v>4.1999999999999997E-3</v>
      </c>
      <c r="D111" s="23">
        <v>153299</v>
      </c>
      <c r="E111" s="22">
        <v>5.5999999999999999E-3</v>
      </c>
      <c r="F111" s="1">
        <v>8.9999999999999998E-4</v>
      </c>
      <c r="G111" s="1"/>
    </row>
    <row r="112" spans="1:7" x14ac:dyDescent="0.25">
      <c r="A112" s="21">
        <v>2016</v>
      </c>
      <c r="B112" s="21">
        <v>6</v>
      </c>
      <c r="C112" s="22">
        <v>1.5100000000000001E-2</v>
      </c>
      <c r="D112" s="23">
        <v>152283</v>
      </c>
      <c r="E112" s="22">
        <v>1.5599999999999999E-2</v>
      </c>
      <c r="F112" s="1">
        <v>1.4E-2</v>
      </c>
      <c r="G112" s="1"/>
    </row>
    <row r="113" spans="1:7" x14ac:dyDescent="0.25">
      <c r="A113" s="21">
        <v>2016</v>
      </c>
      <c r="B113" s="21">
        <v>7</v>
      </c>
      <c r="C113" s="22">
        <v>1.2500000000000001E-2</v>
      </c>
      <c r="D113" s="23">
        <v>150850</v>
      </c>
      <c r="E113" s="22">
        <v>1.7899999999999999E-2</v>
      </c>
      <c r="F113" s="1">
        <v>-5.0000000000000001E-4</v>
      </c>
      <c r="G113" s="1"/>
    </row>
    <row r="114" spans="1:7" x14ac:dyDescent="0.25">
      <c r="A114" s="21">
        <v>2016</v>
      </c>
      <c r="B114" s="21">
        <v>8</v>
      </c>
      <c r="C114" s="22">
        <v>1.6000000000000001E-3</v>
      </c>
      <c r="D114" s="23">
        <v>147764</v>
      </c>
      <c r="E114" s="22">
        <v>1.6999999999999999E-3</v>
      </c>
      <c r="F114" s="1">
        <v>1.5E-3</v>
      </c>
      <c r="G114" s="1"/>
    </row>
    <row r="115" spans="1:7" x14ac:dyDescent="0.25">
      <c r="A115" s="21">
        <v>2016</v>
      </c>
      <c r="B115" s="21">
        <v>9</v>
      </c>
      <c r="C115" s="22">
        <v>-9.1999999999999998E-3</v>
      </c>
      <c r="D115" s="23">
        <v>143075</v>
      </c>
      <c r="E115" s="22">
        <v>-1.1299999999999999E-2</v>
      </c>
      <c r="F115" s="1">
        <v>-4.0000000000000001E-3</v>
      </c>
      <c r="G115" s="1"/>
    </row>
    <row r="116" spans="1:7" x14ac:dyDescent="0.25">
      <c r="A116" s="21">
        <v>2016</v>
      </c>
      <c r="B116" s="21">
        <v>10</v>
      </c>
      <c r="C116" s="22">
        <v>-2.4500000000000001E-2</v>
      </c>
      <c r="D116" s="23">
        <v>136233</v>
      </c>
      <c r="E116" s="22">
        <v>-3.1399999999999997E-2</v>
      </c>
      <c r="F116" s="1">
        <v>-8.0999999999999996E-3</v>
      </c>
      <c r="G116" s="1"/>
    </row>
    <row r="117" spans="1:7" x14ac:dyDescent="0.25">
      <c r="A117" s="21">
        <v>2016</v>
      </c>
      <c r="B117" s="21">
        <v>11</v>
      </c>
      <c r="C117" s="22">
        <v>1.06E-2</v>
      </c>
      <c r="D117" s="23">
        <v>134350</v>
      </c>
      <c r="E117" s="22">
        <v>2.9700000000000001E-2</v>
      </c>
      <c r="F117" s="1">
        <v>-3.4200000000000001E-2</v>
      </c>
      <c r="G117" s="1"/>
    </row>
    <row r="118" spans="1:7" x14ac:dyDescent="0.25">
      <c r="A118" s="21">
        <v>2016</v>
      </c>
      <c r="B118" s="21">
        <v>12</v>
      </c>
      <c r="C118" s="22">
        <v>1.18E-2</v>
      </c>
      <c r="D118" s="23">
        <v>132603</v>
      </c>
      <c r="E118" s="22">
        <v>1.2699999999999999E-2</v>
      </c>
      <c r="F118" s="1">
        <v>9.5999999999999992E-3</v>
      </c>
      <c r="G118" s="1"/>
    </row>
    <row r="119" spans="1:7" x14ac:dyDescent="0.25">
      <c r="A119" s="21">
        <v>2017</v>
      </c>
      <c r="B119" s="21">
        <v>1</v>
      </c>
      <c r="C119" s="22">
        <v>1.0200000000000001E-2</v>
      </c>
      <c r="D119" s="23">
        <v>130628</v>
      </c>
      <c r="E119" s="22">
        <v>1.24E-2</v>
      </c>
      <c r="F119" s="1">
        <v>5.3E-3</v>
      </c>
      <c r="G119" s="1"/>
    </row>
    <row r="120" spans="1:7" x14ac:dyDescent="0.25">
      <c r="A120" s="21">
        <v>2017</v>
      </c>
      <c r="B120" s="21">
        <v>2</v>
      </c>
      <c r="C120" s="22">
        <v>3.3599999999999998E-2</v>
      </c>
      <c r="D120" s="23">
        <v>131690</v>
      </c>
      <c r="E120" s="22">
        <v>4.5499999999999999E-2</v>
      </c>
      <c r="F120" s="1">
        <v>5.7000000000000002E-3</v>
      </c>
      <c r="G120" s="1"/>
    </row>
    <row r="121" spans="1:7" x14ac:dyDescent="0.25">
      <c r="A121" s="21">
        <v>2017</v>
      </c>
      <c r="B121" s="21">
        <v>3</v>
      </c>
      <c r="C121" s="22">
        <v>1E-3</v>
      </c>
      <c r="D121" s="23">
        <v>128491</v>
      </c>
      <c r="E121" s="22">
        <v>2.0000000000000001E-4</v>
      </c>
      <c r="F121" s="1">
        <v>3.0999999999999999E-3</v>
      </c>
      <c r="G121" s="1"/>
    </row>
    <row r="122" spans="1:7" x14ac:dyDescent="0.25">
      <c r="A122" s="21">
        <v>2017</v>
      </c>
      <c r="B122" s="21">
        <v>4</v>
      </c>
      <c r="C122" s="22">
        <v>1.0699999999999999E-2</v>
      </c>
      <c r="D122" s="23">
        <v>126538</v>
      </c>
      <c r="E122" s="22">
        <v>1.2200000000000001E-2</v>
      </c>
      <c r="F122" s="1">
        <v>7.3000000000000001E-3</v>
      </c>
      <c r="G122" s="1"/>
    </row>
    <row r="123" spans="1:7" x14ac:dyDescent="0.25">
      <c r="A123" s="21">
        <v>2017</v>
      </c>
      <c r="B123" s="21">
        <v>5</v>
      </c>
      <c r="C123" s="22">
        <v>1.6799999999999999E-2</v>
      </c>
      <c r="D123" s="23">
        <v>125328</v>
      </c>
      <c r="E123" s="22">
        <v>1.7999999999999999E-2</v>
      </c>
      <c r="F123" s="1">
        <v>1.37E-2</v>
      </c>
      <c r="G123" s="1"/>
    </row>
    <row r="124" spans="1:7" x14ac:dyDescent="0.25">
      <c r="A124" s="21">
        <v>2017</v>
      </c>
      <c r="B124" s="21">
        <v>6</v>
      </c>
      <c r="C124" s="22">
        <v>4.5999999999999999E-3</v>
      </c>
      <c r="D124" s="23">
        <v>122570</v>
      </c>
      <c r="E124" s="22">
        <v>7.7999999999999996E-3</v>
      </c>
      <c r="F124" s="1">
        <v>-3.3999999999999998E-3</v>
      </c>
      <c r="G124" s="1"/>
    </row>
    <row r="125" spans="1:7" x14ac:dyDescent="0.25">
      <c r="A125" s="21">
        <v>2017</v>
      </c>
      <c r="B125" s="21">
        <v>7</v>
      </c>
      <c r="C125" s="22">
        <v>1.12E-2</v>
      </c>
      <c r="D125" s="23">
        <v>120604</v>
      </c>
      <c r="E125" s="22">
        <v>1.2999999999999999E-2</v>
      </c>
      <c r="F125" s="1">
        <v>6.4999999999999997E-3</v>
      </c>
      <c r="G125" s="1"/>
    </row>
    <row r="126" spans="1:7" x14ac:dyDescent="0.25">
      <c r="A126" s="21">
        <v>2017</v>
      </c>
      <c r="B126" s="21">
        <v>8</v>
      </c>
      <c r="C126" s="22">
        <v>-2.0000000000000001E-4</v>
      </c>
      <c r="D126" s="23">
        <v>117242</v>
      </c>
      <c r="E126" s="22">
        <v>-3.5000000000000001E-3</v>
      </c>
      <c r="F126" s="1">
        <v>7.9000000000000008E-3</v>
      </c>
      <c r="G126" s="1"/>
    </row>
    <row r="127" spans="1:7" x14ac:dyDescent="0.25">
      <c r="A127" s="21">
        <v>2017</v>
      </c>
      <c r="B127" s="21">
        <v>9</v>
      </c>
      <c r="C127" s="22">
        <v>1.1599999999999999E-2</v>
      </c>
      <c r="D127" s="23">
        <v>115270</v>
      </c>
      <c r="E127" s="22">
        <v>1.7999999999999999E-2</v>
      </c>
      <c r="F127" s="1">
        <v>-4.1000000000000003E-3</v>
      </c>
      <c r="G127" s="1"/>
    </row>
    <row r="128" spans="1:7" x14ac:dyDescent="0.25">
      <c r="A128" s="21">
        <v>2017</v>
      </c>
      <c r="B128" s="21">
        <v>10</v>
      </c>
      <c r="C128" s="22">
        <v>3.0000000000000001E-3</v>
      </c>
      <c r="D128" s="23">
        <v>112282</v>
      </c>
      <c r="E128" s="22">
        <v>3.8E-3</v>
      </c>
      <c r="F128" s="1">
        <v>8.9999999999999998E-4</v>
      </c>
      <c r="G128" s="1"/>
    </row>
    <row r="129" spans="1:7" x14ac:dyDescent="0.25">
      <c r="A129" s="21">
        <v>2017</v>
      </c>
      <c r="B129" s="21">
        <v>11</v>
      </c>
      <c r="C129" s="22">
        <v>2.52E-2</v>
      </c>
      <c r="D129" s="23">
        <v>111774</v>
      </c>
      <c r="E129" s="22">
        <v>3.78E-2</v>
      </c>
      <c r="F129" s="1">
        <v>-7.0000000000000001E-3</v>
      </c>
      <c r="G129" s="1"/>
    </row>
    <row r="130" spans="1:7" x14ac:dyDescent="0.25">
      <c r="A130" s="21">
        <v>2017</v>
      </c>
      <c r="B130" s="21">
        <v>12</v>
      </c>
      <c r="C130" s="22">
        <v>1.2500000000000001E-2</v>
      </c>
      <c r="D130" s="23">
        <v>109837</v>
      </c>
      <c r="E130" s="22">
        <v>1.3899999999999999E-2</v>
      </c>
      <c r="F130" s="1">
        <v>8.6999999999999994E-3</v>
      </c>
      <c r="G130" s="1"/>
    </row>
    <row r="131" spans="1:7" x14ac:dyDescent="0.25">
      <c r="A131" s="21">
        <v>2018</v>
      </c>
      <c r="B131" s="21">
        <v>1</v>
      </c>
      <c r="C131" s="22">
        <v>3.1099999999999999E-2</v>
      </c>
      <c r="D131" s="23">
        <v>109925</v>
      </c>
      <c r="E131" s="22">
        <v>4.9000000000000002E-2</v>
      </c>
      <c r="F131" s="1">
        <v>-1.04E-2</v>
      </c>
      <c r="G131" s="1"/>
    </row>
    <row r="132" spans="1:7" x14ac:dyDescent="0.25">
      <c r="A132" s="21">
        <v>2018</v>
      </c>
      <c r="B132" s="21">
        <v>2</v>
      </c>
      <c r="C132" s="22">
        <v>-3.15E-2</v>
      </c>
      <c r="D132" s="23">
        <v>103127</v>
      </c>
      <c r="E132" s="22">
        <v>-4.3099999999999999E-2</v>
      </c>
      <c r="F132" s="1">
        <v>-2.8999999999999998E-3</v>
      </c>
      <c r="G132" s="1"/>
    </row>
    <row r="133" spans="1:7" x14ac:dyDescent="0.25">
      <c r="A133" s="21">
        <v>2018</v>
      </c>
      <c r="B133" s="21">
        <v>3</v>
      </c>
      <c r="C133" s="22">
        <v>-9.4000000000000004E-3</v>
      </c>
      <c r="D133" s="23">
        <v>98830</v>
      </c>
      <c r="E133" s="22">
        <v>-1.43E-2</v>
      </c>
      <c r="F133" s="1">
        <v>2.3999999999999998E-3</v>
      </c>
      <c r="G133" s="1"/>
    </row>
    <row r="134" spans="1:7" x14ac:dyDescent="0.25">
      <c r="A134" s="21">
        <v>2018</v>
      </c>
      <c r="B134" s="21">
        <v>4</v>
      </c>
      <c r="C134" s="22">
        <v>8.0999999999999996E-3</v>
      </c>
      <c r="D134" s="23">
        <v>96300</v>
      </c>
      <c r="E134" s="22">
        <v>1.3100000000000001E-2</v>
      </c>
      <c r="F134" s="1">
        <v>-3.5000000000000001E-3</v>
      </c>
      <c r="G134" s="1"/>
    </row>
    <row r="135" spans="1:7" x14ac:dyDescent="0.25">
      <c r="A135" s="21">
        <v>2018</v>
      </c>
      <c r="B135" s="21">
        <v>5</v>
      </c>
      <c r="C135" s="22">
        <v>1.1900000000000001E-2</v>
      </c>
      <c r="D135" s="23">
        <v>94112</v>
      </c>
      <c r="E135" s="22">
        <v>1.2500000000000001E-2</v>
      </c>
      <c r="F135" s="1">
        <v>1.04E-2</v>
      </c>
      <c r="G135" s="1"/>
    </row>
    <row r="136" spans="1:7" x14ac:dyDescent="0.25">
      <c r="A136" s="21">
        <v>2018</v>
      </c>
      <c r="B136" s="21">
        <v>6</v>
      </c>
      <c r="C136" s="22">
        <v>2.8E-3</v>
      </c>
      <c r="D136" s="23">
        <v>91045</v>
      </c>
      <c r="E136" s="22">
        <v>3.5999999999999999E-3</v>
      </c>
      <c r="F136" s="1">
        <v>8.9999999999999998E-4</v>
      </c>
      <c r="G136" s="1"/>
    </row>
    <row r="137" spans="1:7" x14ac:dyDescent="0.25">
      <c r="A137" s="21">
        <v>2018</v>
      </c>
      <c r="B137" s="21">
        <v>7</v>
      </c>
      <c r="C137" s="22">
        <v>3.0200000000000001E-2</v>
      </c>
      <c r="D137" s="23">
        <v>90459</v>
      </c>
      <c r="E137" s="22">
        <v>4.1799999999999997E-2</v>
      </c>
      <c r="F137" s="1">
        <v>2.3999999999999998E-3</v>
      </c>
      <c r="G137" s="1"/>
    </row>
    <row r="138" spans="1:7" x14ac:dyDescent="0.25">
      <c r="A138" s="21">
        <v>2018</v>
      </c>
      <c r="B138" s="21">
        <v>8</v>
      </c>
      <c r="C138" s="22">
        <v>1.3899999999999999E-2</v>
      </c>
      <c r="D138" s="23">
        <v>88382</v>
      </c>
      <c r="E138" s="22">
        <v>1.8800000000000001E-2</v>
      </c>
      <c r="F138" s="1">
        <v>1.6999999999999999E-3</v>
      </c>
      <c r="G138" s="1"/>
    </row>
    <row r="139" spans="1:7" x14ac:dyDescent="0.25">
      <c r="A139" s="21">
        <v>2018</v>
      </c>
      <c r="B139" s="21">
        <v>9</v>
      </c>
      <c r="C139" s="22">
        <v>1.1599999999999999E-2</v>
      </c>
      <c r="D139" s="23">
        <v>86073</v>
      </c>
      <c r="E139" s="22">
        <v>1.8100000000000002E-2</v>
      </c>
      <c r="F139" s="1">
        <v>-4.7999999999999996E-3</v>
      </c>
      <c r="G139" s="1"/>
    </row>
    <row r="140" spans="1:7" x14ac:dyDescent="0.25">
      <c r="A140" s="21">
        <v>2018</v>
      </c>
      <c r="B140" s="21">
        <v>10</v>
      </c>
      <c r="C140" s="22">
        <v>-3.7999999999999999E-2</v>
      </c>
      <c r="D140" s="23">
        <v>79469</v>
      </c>
      <c r="E140" s="22">
        <v>-5.0599999999999999E-2</v>
      </c>
      <c r="F140" s="1">
        <v>-5.5999999999999999E-3</v>
      </c>
      <c r="G140" s="1"/>
    </row>
    <row r="141" spans="1:7" x14ac:dyDescent="0.25">
      <c r="A141" s="21">
        <v>2018</v>
      </c>
      <c r="B141" s="21">
        <v>11</v>
      </c>
      <c r="C141" s="22">
        <v>3.4299999999999997E-2</v>
      </c>
      <c r="D141" s="23">
        <v>78866</v>
      </c>
      <c r="E141" s="22">
        <v>4.41E-2</v>
      </c>
      <c r="F141" s="1">
        <v>1.04E-2</v>
      </c>
      <c r="G141" s="1"/>
    </row>
    <row r="142" spans="1:7" x14ac:dyDescent="0.25">
      <c r="A142" s="21">
        <v>2018</v>
      </c>
      <c r="B142" s="21">
        <v>12</v>
      </c>
      <c r="C142" s="22">
        <v>-5.5500000000000001E-2</v>
      </c>
      <c r="D142" s="23">
        <v>71160</v>
      </c>
      <c r="E142" s="22">
        <v>-8.1900000000000001E-2</v>
      </c>
      <c r="F142" s="1">
        <v>1.1900000000000001E-2</v>
      </c>
      <c r="G142" s="1"/>
    </row>
    <row r="143" spans="1:7" x14ac:dyDescent="0.25">
      <c r="A143" s="21">
        <v>2019</v>
      </c>
      <c r="B143" s="21">
        <v>1</v>
      </c>
      <c r="C143" s="22">
        <v>4.7399999999999998E-2</v>
      </c>
      <c r="D143" s="23">
        <v>71198</v>
      </c>
      <c r="E143" s="22">
        <v>6.4199999999999993E-2</v>
      </c>
      <c r="F143" s="1">
        <v>8.2000000000000007E-3</v>
      </c>
      <c r="G143" s="1"/>
    </row>
    <row r="144" spans="1:7" x14ac:dyDescent="0.25">
      <c r="A144" s="21">
        <v>2019</v>
      </c>
      <c r="B144" s="21">
        <v>2</v>
      </c>
      <c r="C144" s="22">
        <v>2.7900000000000001E-2</v>
      </c>
      <c r="D144" s="23">
        <v>69855</v>
      </c>
      <c r="E144" s="22">
        <v>3.73E-2</v>
      </c>
      <c r="F144" s="1">
        <v>5.0000000000000001E-3</v>
      </c>
      <c r="G144" s="1"/>
    </row>
    <row r="145" spans="1:7" x14ac:dyDescent="0.25">
      <c r="A145" s="21">
        <v>2019</v>
      </c>
      <c r="B145" s="21">
        <v>3</v>
      </c>
      <c r="C145" s="22">
        <v>2.6100000000000002E-2</v>
      </c>
      <c r="D145" s="23">
        <v>68348</v>
      </c>
      <c r="E145" s="22">
        <v>3.1300000000000001E-2</v>
      </c>
      <c r="F145" s="1">
        <v>1.2999999999999999E-2</v>
      </c>
      <c r="G145" s="1"/>
    </row>
    <row r="146" spans="1:7" x14ac:dyDescent="0.25">
      <c r="A146" s="21">
        <v>2019</v>
      </c>
      <c r="B146" s="21">
        <v>4</v>
      </c>
      <c r="C146" s="22">
        <v>2.3900000000000001E-2</v>
      </c>
      <c r="D146" s="23">
        <v>66648</v>
      </c>
      <c r="E146" s="22">
        <v>3.2000000000000001E-2</v>
      </c>
      <c r="F146" s="1">
        <v>2.8999999999999998E-3</v>
      </c>
      <c r="G146" s="1"/>
    </row>
    <row r="147" spans="1:7" x14ac:dyDescent="0.25">
      <c r="A147" s="21">
        <v>2019</v>
      </c>
      <c r="B147" s="21">
        <v>5</v>
      </c>
      <c r="C147" s="22">
        <v>-1.5299999999999999E-2</v>
      </c>
      <c r="D147" s="23">
        <v>62296</v>
      </c>
      <c r="E147" s="22">
        <v>-2.6100000000000002E-2</v>
      </c>
      <c r="F147" s="1">
        <v>1.3599999999999999E-2</v>
      </c>
      <c r="G147" s="1"/>
    </row>
    <row r="148" spans="1:7" x14ac:dyDescent="0.25">
      <c r="A148" s="21">
        <v>2019</v>
      </c>
      <c r="B148" s="21">
        <v>6</v>
      </c>
      <c r="C148" s="22">
        <v>4.24E-2</v>
      </c>
      <c r="D148" s="23">
        <v>61605</v>
      </c>
      <c r="E148" s="22">
        <v>5.7599999999999998E-2</v>
      </c>
      <c r="F148" s="1">
        <v>3.5999999999999999E-3</v>
      </c>
      <c r="G148" s="1"/>
    </row>
    <row r="149" spans="1:7" x14ac:dyDescent="0.25">
      <c r="A149" s="21">
        <v>2019</v>
      </c>
      <c r="B149" s="21">
        <v>7</v>
      </c>
      <c r="C149" s="22">
        <v>1.55E-2</v>
      </c>
      <c r="D149" s="23">
        <v>59228</v>
      </c>
      <c r="E149" s="22">
        <v>1.84E-2</v>
      </c>
      <c r="F149" s="1">
        <v>7.7999999999999996E-3</v>
      </c>
      <c r="G149" s="1"/>
    </row>
    <row r="150" spans="1:7" x14ac:dyDescent="0.25">
      <c r="A150" s="21">
        <v>2019</v>
      </c>
      <c r="B150" s="21">
        <v>8</v>
      </c>
      <c r="C150" s="22">
        <v>1.41E-2</v>
      </c>
      <c r="D150" s="23">
        <v>56728</v>
      </c>
      <c r="E150" s="22">
        <v>1.44E-2</v>
      </c>
      <c r="F150" s="1">
        <v>1.32E-2</v>
      </c>
      <c r="G150" s="1"/>
    </row>
    <row r="151" spans="1:7" x14ac:dyDescent="0.25">
      <c r="A151" s="28">
        <v>2019</v>
      </c>
      <c r="B151" s="28">
        <v>9</v>
      </c>
      <c r="C151" s="29">
        <v>-8.0000000000000004E-4</v>
      </c>
      <c r="D151" s="30">
        <v>53349</v>
      </c>
      <c r="E151" s="29">
        <v>1.6000000000000001E-3</v>
      </c>
      <c r="F151" s="19">
        <v>-7.4999999999999997E-3</v>
      </c>
      <c r="G151" s="19"/>
    </row>
    <row r="152" spans="1:7" x14ac:dyDescent="0.25">
      <c r="A152" s="21">
        <v>2019</v>
      </c>
      <c r="B152" s="21">
        <v>10</v>
      </c>
      <c r="C152" s="22">
        <v>-3.7000000000000002E-3</v>
      </c>
      <c r="D152" s="23">
        <v>49818</v>
      </c>
      <c r="E152" s="22">
        <v>-5.5999999999999999E-3</v>
      </c>
      <c r="F152" s="1">
        <v>1.4E-3</v>
      </c>
      <c r="G152" s="1"/>
    </row>
    <row r="153" spans="1:7" x14ac:dyDescent="0.25">
      <c r="A153">
        <v>2019</v>
      </c>
      <c r="B153">
        <v>11</v>
      </c>
      <c r="C153" s="1">
        <v>1.8800000000000001E-2</v>
      </c>
      <c r="D153" s="3">
        <v>47421</v>
      </c>
      <c r="E153" s="1">
        <v>2.52E-2</v>
      </c>
      <c r="F153" s="1">
        <v>1.4E-3</v>
      </c>
      <c r="G153" s="1"/>
    </row>
    <row r="154" spans="1:7" x14ac:dyDescent="0.25">
      <c r="A154" s="10">
        <v>2019</v>
      </c>
      <c r="B154" s="10">
        <v>12</v>
      </c>
      <c r="C154" s="11">
        <v>0.02</v>
      </c>
      <c r="D154" s="14">
        <v>45037</v>
      </c>
      <c r="E154" s="11">
        <v>2.5899999999999999E-2</v>
      </c>
      <c r="F154" s="11">
        <v>3.5000000000000001E-3</v>
      </c>
      <c r="G154" s="11"/>
    </row>
    <row r="155" spans="1:7" x14ac:dyDescent="0.25">
      <c r="A155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BE6C-CDDB-4246-BA21-9723BF38F6FF}">
  <dimension ref="B1:S12"/>
  <sheetViews>
    <sheetView tabSelected="1" zoomScale="70" zoomScaleNormal="70" workbookViewId="0"/>
  </sheetViews>
  <sheetFormatPr defaultRowHeight="15" x14ac:dyDescent="0.25"/>
  <cols>
    <col min="1" max="1" width="3.42578125" style="9" customWidth="1"/>
    <col min="2" max="2" width="31.5703125" style="8" customWidth="1"/>
    <col min="3" max="7" width="13.140625" style="8" customWidth="1"/>
    <col min="8" max="10" width="12.85546875" style="13" customWidth="1"/>
    <col min="11" max="13" width="14.7109375" style="9" customWidth="1"/>
    <col min="14" max="14" width="12.7109375" style="13" customWidth="1"/>
    <col min="15" max="15" width="9.140625" style="87"/>
    <col min="16" max="16" width="28.42578125" style="13" customWidth="1"/>
    <col min="17" max="18" width="16.140625" style="9" customWidth="1"/>
    <col min="19" max="19" width="13" style="9" customWidth="1"/>
    <col min="20" max="16384" width="9.140625" style="9"/>
  </cols>
  <sheetData>
    <row r="1" spans="2:19" ht="15.75" thickBot="1" x14ac:dyDescent="0.3"/>
    <row r="2" spans="2:19" ht="15.75" x14ac:dyDescent="0.25">
      <c r="B2" s="56"/>
      <c r="C2" s="44" t="s">
        <v>12</v>
      </c>
      <c r="D2" s="44" t="s">
        <v>13</v>
      </c>
      <c r="E2" s="44" t="s">
        <v>28</v>
      </c>
      <c r="F2" s="44" t="s">
        <v>34</v>
      </c>
      <c r="G2" s="44" t="s">
        <v>47</v>
      </c>
      <c r="H2" s="51" t="s">
        <v>53</v>
      </c>
      <c r="I2" s="61" t="s">
        <v>60</v>
      </c>
      <c r="J2" s="61" t="s">
        <v>89</v>
      </c>
      <c r="K2" s="181" t="s">
        <v>55</v>
      </c>
      <c r="L2" s="51" t="s">
        <v>93</v>
      </c>
      <c r="M2" s="195" t="s">
        <v>173</v>
      </c>
      <c r="N2" s="57"/>
      <c r="P2" s="213"/>
      <c r="Q2" s="209" t="str">
        <f>E2</f>
        <v>Method 3</v>
      </c>
      <c r="R2" s="210" t="str">
        <f>L2</f>
        <v>Method 7A</v>
      </c>
      <c r="S2" s="214"/>
    </row>
    <row r="3" spans="2:19" ht="64.5" customHeight="1" x14ac:dyDescent="0.25">
      <c r="B3" s="55"/>
      <c r="C3" s="45" t="s">
        <v>14</v>
      </c>
      <c r="D3" s="45" t="s">
        <v>15</v>
      </c>
      <c r="E3" s="45" t="s">
        <v>29</v>
      </c>
      <c r="F3" s="45" t="s">
        <v>102</v>
      </c>
      <c r="G3" s="45" t="s">
        <v>51</v>
      </c>
      <c r="H3" s="45" t="s">
        <v>59</v>
      </c>
      <c r="I3" s="62" t="s">
        <v>90</v>
      </c>
      <c r="J3" s="62" t="s">
        <v>90</v>
      </c>
      <c r="K3" s="182" t="s">
        <v>69</v>
      </c>
      <c r="L3" s="45" t="s">
        <v>174</v>
      </c>
      <c r="M3" s="45" t="s">
        <v>175</v>
      </c>
      <c r="N3" s="58"/>
      <c r="P3" s="215"/>
      <c r="Q3" s="52" t="str">
        <f>E3</f>
        <v>VWITX</v>
      </c>
      <c r="R3" s="52" t="str">
        <f>L4</f>
        <v>20% VWITX / 80% DLR</v>
      </c>
      <c r="S3" s="216"/>
    </row>
    <row r="4" spans="2:19" ht="59.25" customHeight="1" x14ac:dyDescent="0.25">
      <c r="B4" s="55"/>
      <c r="C4" s="45" t="s">
        <v>14</v>
      </c>
      <c r="D4" s="45" t="s">
        <v>32</v>
      </c>
      <c r="E4" s="45" t="s">
        <v>31</v>
      </c>
      <c r="F4" s="49" t="s">
        <v>33</v>
      </c>
      <c r="G4" s="45" t="s">
        <v>52</v>
      </c>
      <c r="H4" s="45" t="s">
        <v>54</v>
      </c>
      <c r="I4" s="62" t="s">
        <v>61</v>
      </c>
      <c r="J4" s="62" t="s">
        <v>94</v>
      </c>
      <c r="K4" s="182" t="s">
        <v>67</v>
      </c>
      <c r="L4" s="45" t="s">
        <v>101</v>
      </c>
      <c r="M4" s="45" t="s">
        <v>179</v>
      </c>
      <c r="N4" s="73" t="s">
        <v>83</v>
      </c>
      <c r="P4" s="215"/>
      <c r="Q4" s="52" t="str">
        <f>E4</f>
        <v>100% Muni Bond</v>
      </c>
      <c r="R4" s="52" t="s">
        <v>85</v>
      </c>
      <c r="S4" s="216"/>
    </row>
    <row r="5" spans="2:19" ht="49.5" customHeight="1" x14ac:dyDescent="0.25">
      <c r="B5" s="55" t="s">
        <v>185</v>
      </c>
      <c r="C5" s="45" t="s">
        <v>78</v>
      </c>
      <c r="D5" s="64">
        <f>'METHOD2 - VTSAX wTAX- d'!N7</f>
        <v>0.69595263884372793</v>
      </c>
      <c r="E5" s="71">
        <f>'METHOD3 - VWITX wTAX'!N7</f>
        <v>13.477541403355856</v>
      </c>
      <c r="F5" s="64">
        <f>'METHOD4 - VWIAX wTAX'!N7</f>
        <v>2.6392999589822699</v>
      </c>
      <c r="G5" s="64">
        <f>'METHOD5 - Split 3 wTAX'!N7</f>
        <v>0.56756837446372232</v>
      </c>
      <c r="H5" s="65">
        <f>'METHOD6-Split 3+dividfund wTAX '!N7</f>
        <v>0.7706819038196937</v>
      </c>
      <c r="I5" s="66" t="s">
        <v>161</v>
      </c>
      <c r="J5" s="66" t="s">
        <v>161</v>
      </c>
      <c r="K5" s="183">
        <f>'METHOD7-split 3+dividstock wTAX'!N8</f>
        <v>2.9916906021854461</v>
      </c>
      <c r="L5" s="65">
        <f>'METHOD7A-split2+DLR+VWITX'!N8</f>
        <v>3.0405989583333337</v>
      </c>
      <c r="M5" s="196">
        <f>'METHOD7B-split2+VGSIX+VWITX'!N8</f>
        <v>2.0288911290322584</v>
      </c>
      <c r="N5" s="58" t="s">
        <v>71</v>
      </c>
      <c r="O5" s="88" t="s">
        <v>36</v>
      </c>
      <c r="P5" s="217" t="str">
        <f>B5</f>
        <v>Simple Single Ratio (SSR) after tax</v>
      </c>
      <c r="Q5" s="211">
        <f>E5</f>
        <v>13.477541403355856</v>
      </c>
      <c r="R5" s="211">
        <f>L5</f>
        <v>3.0405989583333337</v>
      </c>
      <c r="S5" s="218" t="s">
        <v>83</v>
      </c>
    </row>
    <row r="6" spans="2:19" ht="49.5" customHeight="1" x14ac:dyDescent="0.25">
      <c r="B6" s="55" t="s">
        <v>16</v>
      </c>
      <c r="C6" s="67" t="s">
        <v>26</v>
      </c>
      <c r="D6" s="47" t="s">
        <v>151</v>
      </c>
      <c r="E6" s="67" t="s">
        <v>153</v>
      </c>
      <c r="F6" s="47" t="s">
        <v>157</v>
      </c>
      <c r="G6" s="47" t="s">
        <v>158</v>
      </c>
      <c r="H6" s="47" t="s">
        <v>162</v>
      </c>
      <c r="I6" s="47" t="s">
        <v>162</v>
      </c>
      <c r="J6" s="47" t="s">
        <v>162</v>
      </c>
      <c r="K6" s="47" t="s">
        <v>170</v>
      </c>
      <c r="L6" s="191" t="s">
        <v>57</v>
      </c>
      <c r="M6" s="47" t="s">
        <v>182</v>
      </c>
      <c r="N6" s="58" t="s">
        <v>70</v>
      </c>
      <c r="O6" s="87" t="s">
        <v>36</v>
      </c>
      <c r="P6" s="217" t="str">
        <f>B6</f>
        <v>Drawdown period (2008 - 2012) - Dollars left at end of 5 years</v>
      </c>
      <c r="Q6" s="52" t="str">
        <f>E6</f>
        <v>$24K</v>
      </c>
      <c r="R6" s="52" t="str">
        <f>L6</f>
        <v>$35K</v>
      </c>
      <c r="S6" s="219" t="s">
        <v>71</v>
      </c>
    </row>
    <row r="7" spans="2:19" ht="49.5" customHeight="1" x14ac:dyDescent="0.25">
      <c r="B7" s="55" t="s">
        <v>17</v>
      </c>
      <c r="C7" s="67" t="s">
        <v>26</v>
      </c>
      <c r="D7" s="67" t="s">
        <v>152</v>
      </c>
      <c r="E7" s="67" t="s">
        <v>48</v>
      </c>
      <c r="F7" s="47" t="s">
        <v>158</v>
      </c>
      <c r="G7" s="67" t="s">
        <v>161</v>
      </c>
      <c r="H7" s="68" t="s">
        <v>161</v>
      </c>
      <c r="I7" s="69" t="s">
        <v>161</v>
      </c>
      <c r="J7" s="69" t="s">
        <v>161</v>
      </c>
      <c r="K7" s="184" t="s">
        <v>169</v>
      </c>
      <c r="L7" s="70" t="s">
        <v>172</v>
      </c>
      <c r="M7" s="184" t="s">
        <v>181</v>
      </c>
      <c r="N7" s="58" t="s">
        <v>71</v>
      </c>
      <c r="P7" s="217" t="str">
        <f>B7</f>
        <v>Drawup period (2015 - 2019) - Dollars left at end of 5 years</v>
      </c>
      <c r="Q7" s="52" t="str">
        <f>E7</f>
        <v>$12K</v>
      </c>
      <c r="R7" s="52" t="str">
        <f>L7</f>
        <v>$70K</v>
      </c>
      <c r="S7" s="219" t="s">
        <v>70</v>
      </c>
    </row>
    <row r="8" spans="2:19" ht="49.5" customHeight="1" x14ac:dyDescent="0.25">
      <c r="B8" s="55" t="s">
        <v>24</v>
      </c>
      <c r="C8" s="67" t="s">
        <v>26</v>
      </c>
      <c r="D8" s="67" t="s">
        <v>153</v>
      </c>
      <c r="E8" s="67" t="s">
        <v>154</v>
      </c>
      <c r="F8" s="67" t="s">
        <v>153</v>
      </c>
      <c r="G8" s="67" t="s">
        <v>159</v>
      </c>
      <c r="H8" s="68" t="s">
        <v>159</v>
      </c>
      <c r="I8" s="69" t="s">
        <v>161</v>
      </c>
      <c r="J8" s="69" t="s">
        <v>161</v>
      </c>
      <c r="K8" s="184" t="s">
        <v>167</v>
      </c>
      <c r="L8" s="70" t="s">
        <v>171</v>
      </c>
      <c r="M8" s="184" t="s">
        <v>44</v>
      </c>
      <c r="N8" s="58" t="s">
        <v>71</v>
      </c>
      <c r="P8" s="217" t="s">
        <v>86</v>
      </c>
      <c r="Q8" s="208">
        <f>AVERAGE(24,12)</f>
        <v>18</v>
      </c>
      <c r="R8" s="208">
        <f>AVERAGE(35,70)</f>
        <v>52.5</v>
      </c>
      <c r="S8" s="219" t="s">
        <v>71</v>
      </c>
    </row>
    <row r="9" spans="2:19" ht="47.25" customHeight="1" thickBot="1" x14ac:dyDescent="0.3">
      <c r="B9" s="59" t="s">
        <v>27</v>
      </c>
      <c r="C9" s="46" t="s">
        <v>81</v>
      </c>
      <c r="D9" s="128">
        <f>'METHOD2 - VTSAX wTAX- d'!D4</f>
        <v>5.1556171485543367E-2</v>
      </c>
      <c r="E9" s="128">
        <f>'METHOD3 - VWITX wTAX'!D4</f>
        <v>4.2049929178470266E-2</v>
      </c>
      <c r="F9" s="128">
        <f>'METHOD4 - VWIAX wTAX'!D4</f>
        <v>5.1941423192771077E-2</v>
      </c>
      <c r="G9" s="168">
        <f>'METHOD5 - Split 3 wTAX'!D4</f>
        <v>1.6118941834769713E-2</v>
      </c>
      <c r="H9" s="175">
        <f>'METHOD6-Split 3+dividfund wTAX '!D4</f>
        <v>1.7571547407089015E-2</v>
      </c>
      <c r="I9" s="63" t="s">
        <v>161</v>
      </c>
      <c r="J9" s="63" t="s">
        <v>161</v>
      </c>
      <c r="K9" s="189">
        <f>'METHOD7-split 3+dividstock wTAX'!D4</f>
        <v>9.9324127992556813E-2</v>
      </c>
      <c r="L9" s="197">
        <f>'METHOD7A-split2+DLR+VWITX'!D4</f>
        <v>0.116759</v>
      </c>
      <c r="M9" s="189">
        <f>'METHOD7B-split2+VGSIX+VWITX'!D4</f>
        <v>7.5474750000000007E-2</v>
      </c>
      <c r="N9" s="60" t="s">
        <v>71</v>
      </c>
      <c r="P9" s="215" t="s">
        <v>87</v>
      </c>
      <c r="Q9" s="68">
        <v>200</v>
      </c>
      <c r="R9" s="68">
        <v>200</v>
      </c>
      <c r="S9" s="219" t="s">
        <v>71</v>
      </c>
    </row>
    <row r="10" spans="2:19" ht="48.75" customHeight="1" thickBot="1" x14ac:dyDescent="0.3">
      <c r="B10" s="15"/>
      <c r="C10" s="15" t="s">
        <v>36</v>
      </c>
      <c r="D10" s="15"/>
      <c r="E10" s="15"/>
      <c r="F10" s="15" t="s">
        <v>36</v>
      </c>
      <c r="G10" s="15"/>
      <c r="H10" s="16"/>
      <c r="I10" s="16"/>
      <c r="J10" s="16"/>
      <c r="K10" s="17"/>
      <c r="L10" s="17"/>
      <c r="M10" s="17"/>
      <c r="N10" s="16"/>
      <c r="P10" s="220" t="s">
        <v>88</v>
      </c>
      <c r="Q10" s="212">
        <f>Q8/Q9</f>
        <v>0.09</v>
      </c>
      <c r="R10" s="212">
        <f>R8/R9</f>
        <v>0.26250000000000001</v>
      </c>
      <c r="S10" s="221" t="s">
        <v>71</v>
      </c>
    </row>
    <row r="11" spans="2:19" ht="19.5" customHeight="1" x14ac:dyDescent="0.25">
      <c r="B11" s="43" t="s">
        <v>40</v>
      </c>
      <c r="C11" s="15"/>
      <c r="D11" s="15"/>
      <c r="E11" s="15"/>
      <c r="F11" s="15"/>
      <c r="G11" s="15"/>
      <c r="H11" s="16"/>
      <c r="I11" s="16"/>
      <c r="J11" s="16"/>
      <c r="K11" s="17"/>
      <c r="L11" s="17"/>
      <c r="M11" s="17"/>
      <c r="N11" s="16"/>
    </row>
    <row r="12" spans="2:19" x14ac:dyDescent="0.25">
      <c r="B12" s="42" t="s">
        <v>186</v>
      </c>
      <c r="C12" s="15"/>
      <c r="D12" s="15"/>
      <c r="E12" s="15"/>
      <c r="F12" s="15"/>
      <c r="G12" s="15"/>
      <c r="H12" s="16"/>
      <c r="I12" s="16"/>
      <c r="J12" s="16"/>
      <c r="K12" s="17"/>
      <c r="L12" s="17"/>
      <c r="M12" s="17"/>
      <c r="N12" s="16"/>
    </row>
  </sheetData>
  <phoneticPr fontId="4" type="noConversion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5B7E1-E1C8-4286-B712-5F82D00F5218}">
  <dimension ref="A1:AC109"/>
  <sheetViews>
    <sheetView topLeftCell="R8" workbookViewId="0">
      <selection activeCell="W14" sqref="W14"/>
    </sheetView>
  </sheetViews>
  <sheetFormatPr defaultRowHeight="15" x14ac:dyDescent="0.25"/>
  <cols>
    <col min="15" max="15" width="51.5703125" bestFit="1" customWidth="1"/>
    <col min="16" max="19" width="9.5703125" customWidth="1"/>
    <col min="25" max="25" width="29.85546875" bestFit="1" customWidth="1"/>
    <col min="26" max="26" width="27.140625" customWidth="1"/>
    <col min="27" max="28" width="14.5703125" customWidth="1"/>
  </cols>
  <sheetData>
    <row r="1" spans="1:29" x14ac:dyDescent="0.25">
      <c r="A1" s="89" t="s">
        <v>103</v>
      </c>
      <c r="W1" s="90" t="s">
        <v>36</v>
      </c>
      <c r="X1" s="91"/>
      <c r="Y1" s="92" t="s">
        <v>104</v>
      </c>
      <c r="Z1" s="93" t="s">
        <v>36</v>
      </c>
      <c r="AA1" s="91"/>
      <c r="AB1" s="91"/>
      <c r="AC1" s="94"/>
    </row>
    <row r="2" spans="1:29" x14ac:dyDescent="0.25">
      <c r="A2" s="89" t="s">
        <v>30</v>
      </c>
      <c r="N2" s="89" t="s">
        <v>103</v>
      </c>
      <c r="W2" s="95"/>
      <c r="X2" s="222"/>
      <c r="Y2" s="222"/>
      <c r="Z2" s="222"/>
      <c r="AA2" s="222"/>
      <c r="AB2" s="222"/>
      <c r="AC2" s="96"/>
    </row>
    <row r="3" spans="1:29" ht="15.75" x14ac:dyDescent="0.25">
      <c r="N3" s="89" t="s">
        <v>30</v>
      </c>
      <c r="P3" s="40" t="s">
        <v>105</v>
      </c>
      <c r="Q3" s="40" t="s">
        <v>106</v>
      </c>
      <c r="R3" s="40" t="s">
        <v>107</v>
      </c>
      <c r="S3" s="40" t="s">
        <v>108</v>
      </c>
      <c r="T3" s="40" t="s">
        <v>109</v>
      </c>
      <c r="W3" s="95" t="s">
        <v>30</v>
      </c>
      <c r="X3" s="222" t="s">
        <v>103</v>
      </c>
      <c r="Y3" s="223">
        <f>R23</f>
        <v>0.29668674698795183</v>
      </c>
      <c r="Z3" s="224" t="s">
        <v>110</v>
      </c>
      <c r="AA3" s="222"/>
      <c r="AB3" s="222"/>
      <c r="AC3" s="96"/>
    </row>
    <row r="4" spans="1:29" ht="15.75" x14ac:dyDescent="0.25">
      <c r="O4" s="97" t="s">
        <v>111</v>
      </c>
      <c r="W4" s="95" t="s">
        <v>15</v>
      </c>
      <c r="X4" s="222"/>
      <c r="Y4" s="223">
        <f>R48</f>
        <v>0.23030907278165499</v>
      </c>
      <c r="Z4" s="224" t="s">
        <v>112</v>
      </c>
      <c r="AA4" s="222"/>
      <c r="AB4" s="222"/>
      <c r="AC4" s="96"/>
    </row>
    <row r="5" spans="1:29" ht="15.75" x14ac:dyDescent="0.25">
      <c r="O5" t="s">
        <v>113</v>
      </c>
      <c r="P5" s="98">
        <v>5.67E-2</v>
      </c>
      <c r="Q5" s="1">
        <v>6.2700000000000006E-2</v>
      </c>
      <c r="R5" s="1">
        <v>6.6400000000000001E-2</v>
      </c>
      <c r="S5" s="1">
        <v>7.8399999999999997E-2</v>
      </c>
      <c r="T5" s="1">
        <v>9.5899999999999999E-2</v>
      </c>
      <c r="W5" s="95" t="s">
        <v>114</v>
      </c>
      <c r="X5" s="222" t="s">
        <v>29</v>
      </c>
      <c r="Y5" s="223">
        <f>R68</f>
        <v>5.0991501416430489E-2</v>
      </c>
      <c r="Z5" s="224" t="s">
        <v>115</v>
      </c>
      <c r="AA5" s="222"/>
      <c r="AB5" s="222"/>
      <c r="AC5" s="96"/>
    </row>
    <row r="6" spans="1:29" ht="15.75" x14ac:dyDescent="0.25">
      <c r="O6" s="99" t="s">
        <v>116</v>
      </c>
      <c r="P6" s="1">
        <v>9.9199999999999997E-2</v>
      </c>
      <c r="Q6" s="1">
        <v>6.0900000000000003E-2</v>
      </c>
      <c r="R6" s="1">
        <v>5.3199999999999997E-2</v>
      </c>
      <c r="S6" s="1">
        <v>4.8800000000000003E-2</v>
      </c>
      <c r="T6" t="s">
        <v>117</v>
      </c>
      <c r="W6" s="95" t="s">
        <v>118</v>
      </c>
      <c r="X6" s="222"/>
      <c r="Y6" s="223">
        <f>R88</f>
        <v>0.24832855778414512</v>
      </c>
      <c r="Z6" s="224" t="s">
        <v>119</v>
      </c>
      <c r="AA6" s="222"/>
      <c r="AB6" s="222"/>
      <c r="AC6" s="96"/>
    </row>
    <row r="7" spans="1:29" ht="15.75" x14ac:dyDescent="0.25">
      <c r="O7" s="99" t="s">
        <v>120</v>
      </c>
      <c r="P7" s="1">
        <v>1.77E-2</v>
      </c>
      <c r="Q7" s="1">
        <v>3.7400000000000003E-2</v>
      </c>
      <c r="R7" s="1">
        <v>3.9600000000000003E-2</v>
      </c>
      <c r="S7" s="1">
        <v>0.06</v>
      </c>
      <c r="T7" t="s">
        <v>117</v>
      </c>
      <c r="W7" s="95" t="s">
        <v>121</v>
      </c>
      <c r="X7" s="222" t="s">
        <v>122</v>
      </c>
      <c r="Y7" s="223">
        <f>R109</f>
        <v>0.12990196078431387</v>
      </c>
      <c r="Z7" s="224" t="s">
        <v>123</v>
      </c>
      <c r="AA7" s="222"/>
      <c r="AB7" s="222"/>
      <c r="AC7" s="96"/>
    </row>
    <row r="8" spans="1:29" ht="15.75" x14ac:dyDescent="0.25">
      <c r="O8" s="99"/>
      <c r="P8" s="1"/>
      <c r="Q8" s="1"/>
      <c r="R8" s="1"/>
      <c r="S8" s="1"/>
      <c r="W8" s="95"/>
      <c r="X8" s="222"/>
      <c r="Y8" s="223"/>
      <c r="Z8" s="224"/>
      <c r="AA8" s="222"/>
      <c r="AB8" s="222"/>
      <c r="AC8" s="96"/>
    </row>
    <row r="9" spans="1:29" x14ac:dyDescent="0.25">
      <c r="O9" s="99" t="s">
        <v>124</v>
      </c>
      <c r="W9" s="95"/>
      <c r="X9" s="222"/>
      <c r="Y9" s="222"/>
      <c r="Z9" s="222"/>
      <c r="AA9" s="222"/>
      <c r="AB9" s="222"/>
      <c r="AC9" s="96"/>
    </row>
    <row r="10" spans="1:29" x14ac:dyDescent="0.25">
      <c r="O10" s="97" t="s">
        <v>113</v>
      </c>
      <c r="P10" s="98">
        <v>4.2799999999999998E-2</v>
      </c>
      <c r="Q10" s="1">
        <v>4.6199999999999998E-2</v>
      </c>
      <c r="R10" s="1">
        <v>5.0200000000000002E-2</v>
      </c>
      <c r="S10" s="1">
        <v>6.2899999999999998E-2</v>
      </c>
      <c r="T10" s="1">
        <v>6.1100000000000002E-2</v>
      </c>
      <c r="W10" s="100" t="s">
        <v>40</v>
      </c>
      <c r="X10" s="222"/>
      <c r="Y10" s="222"/>
      <c r="Z10" s="222"/>
      <c r="AA10" s="222"/>
      <c r="AB10" s="222"/>
      <c r="AC10" s="96"/>
    </row>
    <row r="11" spans="1:29" x14ac:dyDescent="0.25">
      <c r="O11" s="99" t="s">
        <v>120</v>
      </c>
      <c r="P11" s="1">
        <v>-5.1999999999999998E-3</v>
      </c>
      <c r="Q11" s="1">
        <v>1.9400000000000001E-2</v>
      </c>
      <c r="R11" s="1">
        <v>2.3199999999999998E-2</v>
      </c>
      <c r="S11" s="1">
        <v>4.5499999999999999E-2</v>
      </c>
      <c r="T11" t="s">
        <v>117</v>
      </c>
      <c r="W11" s="101" t="s">
        <v>187</v>
      </c>
      <c r="X11" s="222"/>
      <c r="Y11" s="222"/>
      <c r="Z11" s="222"/>
      <c r="AA11" s="222"/>
      <c r="AB11" s="222"/>
      <c r="AC11" s="96"/>
    </row>
    <row r="12" spans="1:29" ht="15.75" thickBot="1" x14ac:dyDescent="0.3">
      <c r="O12" s="102" t="s">
        <v>125</v>
      </c>
      <c r="W12" s="103" t="s">
        <v>126</v>
      </c>
      <c r="X12" s="104"/>
      <c r="Y12" s="104"/>
      <c r="Z12" s="104"/>
      <c r="AA12" s="104"/>
      <c r="AB12" s="104"/>
      <c r="AC12" s="105"/>
    </row>
    <row r="13" spans="1:29" x14ac:dyDescent="0.25">
      <c r="O13" s="106" t="s">
        <v>113</v>
      </c>
      <c r="P13" s="98">
        <v>3.6499999999999998E-2</v>
      </c>
      <c r="Q13" s="1">
        <v>4.3700000000000003E-2</v>
      </c>
      <c r="R13" s="1">
        <v>4.6699999999999998E-2</v>
      </c>
      <c r="S13" s="1">
        <v>5.7700000000000001E-2</v>
      </c>
      <c r="T13" s="1">
        <v>5.96E-2</v>
      </c>
    </row>
    <row r="14" spans="1:29" ht="15.75" thickBot="1" x14ac:dyDescent="0.3">
      <c r="O14" s="99" t="s">
        <v>120</v>
      </c>
      <c r="P14" s="1">
        <v>7.4999999999999997E-3</v>
      </c>
      <c r="Q14" s="1">
        <v>2.1700000000000001E-2</v>
      </c>
      <c r="R14" s="1">
        <v>2.4500000000000001E-2</v>
      </c>
      <c r="S14" s="1">
        <v>4.2299999999999997E-2</v>
      </c>
      <c r="W14" t="s">
        <v>188</v>
      </c>
    </row>
    <row r="15" spans="1:29" x14ac:dyDescent="0.25">
      <c r="O15" s="99"/>
      <c r="W15" s="90" t="s">
        <v>36</v>
      </c>
      <c r="X15" s="91"/>
      <c r="Y15" s="92" t="s">
        <v>104</v>
      </c>
      <c r="Z15" s="93" t="s">
        <v>36</v>
      </c>
      <c r="AA15" s="92" t="s">
        <v>145</v>
      </c>
      <c r="AB15" s="91"/>
      <c r="AC15" s="94"/>
    </row>
    <row r="16" spans="1:29" x14ac:dyDescent="0.25">
      <c r="W16" s="95"/>
      <c r="X16" s="222"/>
      <c r="Y16" s="222"/>
      <c r="Z16" s="222"/>
      <c r="AA16" s="224" t="s">
        <v>146</v>
      </c>
      <c r="AB16" s="224" t="s">
        <v>147</v>
      </c>
      <c r="AC16" s="96"/>
    </row>
    <row r="17" spans="1:29" ht="15.75" x14ac:dyDescent="0.25">
      <c r="P17" s="2">
        <f>P10/P5</f>
        <v>0.75485008818342147</v>
      </c>
      <c r="Q17" s="2">
        <f t="shared" ref="Q17:S17" si="0">Q10/Q5</f>
        <v>0.73684210526315774</v>
      </c>
      <c r="R17" s="2">
        <f t="shared" si="0"/>
        <v>0.75602409638554213</v>
      </c>
      <c r="S17" s="2">
        <f t="shared" si="0"/>
        <v>0.80229591836734693</v>
      </c>
      <c r="W17" s="95" t="s">
        <v>30</v>
      </c>
      <c r="X17" s="222" t="s">
        <v>103</v>
      </c>
      <c r="Y17" s="223">
        <v>0.29668674698795183</v>
      </c>
      <c r="Z17" s="224" t="s">
        <v>110</v>
      </c>
      <c r="AA17" s="225">
        <f>'METHOD4 - VWIAX wTAX'!C4</f>
        <v>7.647000000000001E-2</v>
      </c>
      <c r="AB17" s="225">
        <f>'METHOD4 - VWIAX wTAX'!D4</f>
        <v>5.1941423192771077E-2</v>
      </c>
      <c r="AC17" s="96"/>
    </row>
    <row r="18" spans="1:29" ht="15.75" x14ac:dyDescent="0.25">
      <c r="P18" s="2">
        <f>P13/P5</f>
        <v>0.64373897707231031</v>
      </c>
      <c r="Q18" s="2">
        <f t="shared" ref="Q18:S18" si="1">Q13/Q5</f>
        <v>0.69696969696969691</v>
      </c>
      <c r="R18" s="2">
        <f t="shared" si="1"/>
        <v>0.70331325301204817</v>
      </c>
      <c r="S18" s="2">
        <f t="shared" si="1"/>
        <v>0.73596938775510212</v>
      </c>
      <c r="W18" s="95" t="s">
        <v>118</v>
      </c>
      <c r="X18" s="222"/>
      <c r="Y18" s="223">
        <v>0.24832855778414512</v>
      </c>
      <c r="Z18" s="224" t="s">
        <v>164</v>
      </c>
      <c r="AA18" s="225">
        <f>'METHOD6-Split 3+dividfund wTAX '!G4</f>
        <v>8.9290000000000008E-2</v>
      </c>
      <c r="AB18" s="225">
        <f>'METHOD6-Split 3+dividfund wTAX '!J4</f>
        <v>6.7116743075453691E-2</v>
      </c>
      <c r="AC18" s="96"/>
    </row>
    <row r="19" spans="1:29" ht="15.75" x14ac:dyDescent="0.25">
      <c r="W19" s="95" t="s">
        <v>15</v>
      </c>
      <c r="X19" s="222"/>
      <c r="Y19" s="223">
        <v>0.23030907278165499</v>
      </c>
      <c r="Z19" s="224" t="s">
        <v>112</v>
      </c>
      <c r="AA19" s="225">
        <f>'METHOD2 - VTSAX wTAX- d'!C4</f>
        <v>7.9669999999999991E-2</v>
      </c>
      <c r="AB19" s="225">
        <f>'METHOD2 - VTSAX wTAX- d'!D4</f>
        <v>5.1556171485543367E-2</v>
      </c>
      <c r="AC19" s="96"/>
    </row>
    <row r="20" spans="1:29" ht="15.75" x14ac:dyDescent="0.25">
      <c r="W20" s="95" t="s">
        <v>163</v>
      </c>
      <c r="X20" s="222"/>
      <c r="Y20" s="223">
        <v>0.2</v>
      </c>
      <c r="Z20" s="224" t="s">
        <v>165</v>
      </c>
      <c r="AA20" s="225">
        <f>'METHOD7-split 3+dividstock wTAX'!G4</f>
        <v>0.160025</v>
      </c>
      <c r="AB20" s="223">
        <f>AA20*0.8</f>
        <v>0.12801999999999999</v>
      </c>
      <c r="AC20" s="96"/>
    </row>
    <row r="21" spans="1:29" ht="15.75" x14ac:dyDescent="0.25">
      <c r="W21" s="95" t="s">
        <v>163</v>
      </c>
      <c r="X21" s="222"/>
      <c r="Y21" s="223">
        <v>0.2</v>
      </c>
      <c r="Z21" s="224" t="s">
        <v>166</v>
      </c>
      <c r="AA21" s="225">
        <f>'METHOD7A-split2+DLR+VWITX'!F4</f>
        <v>0.16650416666666668</v>
      </c>
      <c r="AB21" s="223">
        <f>AA21*0.8</f>
        <v>0.13320333333333334</v>
      </c>
      <c r="AC21" s="96"/>
    </row>
    <row r="22" spans="1:29" ht="15.75" x14ac:dyDescent="0.25">
      <c r="P22" s="2">
        <f>(P5-P10)/P5</f>
        <v>0.24514991181657853</v>
      </c>
      <c r="Q22" s="2">
        <f>(Q5-Q10)/Q5</f>
        <v>0.2631578947368422</v>
      </c>
      <c r="R22" s="2">
        <f>(R5-R10)/R5</f>
        <v>0.24397590361445781</v>
      </c>
      <c r="S22" s="2">
        <f>(S5-S10)/S5</f>
        <v>0.19770408163265307</v>
      </c>
      <c r="W22" s="95" t="s">
        <v>121</v>
      </c>
      <c r="X22" s="222" t="s">
        <v>122</v>
      </c>
      <c r="Y22" s="223">
        <v>0.12990196078431387</v>
      </c>
      <c r="Z22" s="224" t="s">
        <v>123</v>
      </c>
      <c r="AA22" s="225">
        <f>'METHOD7-split 3+dividstock wTAX'!H4</f>
        <v>0.12834499999999999</v>
      </c>
      <c r="AB22" s="223">
        <f>AA22*0.8</f>
        <v>0.10267599999999999</v>
      </c>
      <c r="AC22" s="96"/>
    </row>
    <row r="23" spans="1:29" ht="16.5" thickBot="1" x14ac:dyDescent="0.3">
      <c r="P23" s="2">
        <f>(P5-P13)/P5</f>
        <v>0.35626102292768963</v>
      </c>
      <c r="Q23" s="2">
        <f>(Q5-Q13)/Q5</f>
        <v>0.30303030303030304</v>
      </c>
      <c r="R23" s="107">
        <f>(R5-R13)/R5</f>
        <v>0.29668674698795183</v>
      </c>
      <c r="S23" s="2">
        <f>(S5-S13)/S5</f>
        <v>0.26403061224489793</v>
      </c>
      <c r="W23" s="226" t="s">
        <v>114</v>
      </c>
      <c r="X23" s="104" t="s">
        <v>29</v>
      </c>
      <c r="Y23" s="227">
        <v>5.0991501416430489E-2</v>
      </c>
      <c r="Z23" s="228" t="s">
        <v>115</v>
      </c>
      <c r="AA23" s="229">
        <f>'METHOD3 - VWITX wTAX'!C4</f>
        <v>4.4354999999999992E-2</v>
      </c>
      <c r="AB23" s="229">
        <f>'METHOD3 - VWITX wTAX'!D4</f>
        <v>4.2049929178470266E-2</v>
      </c>
      <c r="AC23" s="105"/>
    </row>
    <row r="24" spans="1:29" x14ac:dyDescent="0.25">
      <c r="W24" s="95"/>
      <c r="X24" s="222"/>
      <c r="Y24" s="222"/>
      <c r="Z24" s="222"/>
      <c r="AA24" s="222"/>
      <c r="AB24" s="222"/>
      <c r="AC24" s="96"/>
    </row>
    <row r="25" spans="1:29" x14ac:dyDescent="0.25">
      <c r="W25" s="100" t="s">
        <v>40</v>
      </c>
      <c r="X25" s="222"/>
      <c r="Y25" s="222"/>
      <c r="Z25" s="222"/>
      <c r="AA25" s="222"/>
      <c r="AB25" s="222"/>
      <c r="AC25" s="96"/>
    </row>
    <row r="26" spans="1:29" x14ac:dyDescent="0.25">
      <c r="W26" s="101" t="s">
        <v>187</v>
      </c>
      <c r="X26" s="222"/>
      <c r="Y26" s="222"/>
      <c r="Z26" s="222"/>
      <c r="AA26" s="222"/>
      <c r="AB26" s="222"/>
      <c r="AC26" s="96"/>
    </row>
    <row r="27" spans="1:29" ht="15.75" thickBot="1" x14ac:dyDescent="0.3">
      <c r="W27" s="103" t="s">
        <v>126</v>
      </c>
      <c r="X27" s="104"/>
      <c r="Y27" s="104"/>
      <c r="Z27" s="104"/>
      <c r="AA27" s="104"/>
      <c r="AB27" s="104"/>
      <c r="AC27" s="105"/>
    </row>
    <row r="28" spans="1:29" x14ac:dyDescent="0.25">
      <c r="A28" s="89" t="s">
        <v>15</v>
      </c>
      <c r="O28" s="239" t="s">
        <v>15</v>
      </c>
      <c r="P28" s="91"/>
      <c r="Q28" s="91"/>
      <c r="R28" s="91"/>
      <c r="S28" s="91"/>
      <c r="T28" s="94"/>
    </row>
    <row r="29" spans="1:29" ht="15.75" thickBot="1" x14ac:dyDescent="0.3">
      <c r="O29" s="226"/>
      <c r="P29" s="104"/>
      <c r="Q29" s="104"/>
      <c r="R29" s="104"/>
      <c r="S29" s="104"/>
      <c r="T29" s="105"/>
    </row>
    <row r="30" spans="1:29" x14ac:dyDescent="0.25">
      <c r="O30" s="90" t="s">
        <v>36</v>
      </c>
      <c r="P30" s="93" t="s">
        <v>105</v>
      </c>
      <c r="Q30" s="93" t="s">
        <v>106</v>
      </c>
      <c r="R30" s="93" t="s">
        <v>107</v>
      </c>
      <c r="S30" s="93" t="s">
        <v>108</v>
      </c>
      <c r="T30" s="231" t="s">
        <v>109</v>
      </c>
    </row>
    <row r="31" spans="1:29" x14ac:dyDescent="0.25">
      <c r="O31" s="100" t="s">
        <v>111</v>
      </c>
      <c r="P31" s="222"/>
      <c r="Q31" s="222"/>
      <c r="R31" s="222"/>
      <c r="S31" s="222"/>
      <c r="T31" s="96"/>
    </row>
    <row r="32" spans="1:29" x14ac:dyDescent="0.25">
      <c r="O32" s="95" t="s">
        <v>127</v>
      </c>
      <c r="P32" s="232">
        <v>6.4500000000000002E-2</v>
      </c>
      <c r="Q32" s="232">
        <v>0.1003</v>
      </c>
      <c r="R32" s="232">
        <v>0.1002</v>
      </c>
      <c r="S32" s="232">
        <v>0.13730000000000001</v>
      </c>
      <c r="T32" s="233">
        <v>9.64E-2</v>
      </c>
    </row>
    <row r="33" spans="1:20" x14ac:dyDescent="0.25">
      <c r="O33" s="234" t="s">
        <v>128</v>
      </c>
      <c r="P33" s="232">
        <v>6.4699999999999994E-2</v>
      </c>
      <c r="Q33" s="232">
        <v>0.1004</v>
      </c>
      <c r="R33" s="232">
        <v>0.1003</v>
      </c>
      <c r="S33" s="232">
        <v>0.1371</v>
      </c>
      <c r="T33" s="96" t="s">
        <v>117</v>
      </c>
    </row>
    <row r="34" spans="1:20" x14ac:dyDescent="0.25">
      <c r="O34" s="234" t="s">
        <v>129</v>
      </c>
      <c r="P34" s="232">
        <v>6.4699999999999994E-2</v>
      </c>
      <c r="Q34" s="232">
        <v>0.1004</v>
      </c>
      <c r="R34" s="232">
        <v>0.1003</v>
      </c>
      <c r="S34" s="232">
        <v>0.13739999999999999</v>
      </c>
      <c r="T34" s="96" t="s">
        <v>117</v>
      </c>
    </row>
    <row r="35" spans="1:20" x14ac:dyDescent="0.25">
      <c r="O35" s="234" t="s">
        <v>130</v>
      </c>
      <c r="P35" s="232">
        <v>3.7400000000000003E-2</v>
      </c>
      <c r="Q35" s="232">
        <v>8.1500000000000003E-2</v>
      </c>
      <c r="R35" s="232">
        <v>8.3500000000000005E-2</v>
      </c>
      <c r="S35" s="232">
        <v>0.1222</v>
      </c>
      <c r="T35" s="96" t="s">
        <v>117</v>
      </c>
    </row>
    <row r="36" spans="1:20" x14ac:dyDescent="0.25">
      <c r="O36" s="100" t="s">
        <v>124</v>
      </c>
      <c r="P36" s="222"/>
      <c r="Q36" s="222"/>
      <c r="R36" s="222"/>
      <c r="S36" s="222"/>
      <c r="T36" s="96"/>
    </row>
    <row r="37" spans="1:20" x14ac:dyDescent="0.25">
      <c r="O37" s="95" t="s">
        <v>127</v>
      </c>
      <c r="P37" s="232">
        <v>5.9499999999999997E-2</v>
      </c>
      <c r="Q37" s="232">
        <v>9.4200000000000006E-2</v>
      </c>
      <c r="R37" s="232">
        <v>9.3700000000000006E-2</v>
      </c>
      <c r="S37" s="232">
        <v>0.13120000000000001</v>
      </c>
      <c r="T37" s="233">
        <v>6.3200000000000006E-2</v>
      </c>
    </row>
    <row r="38" spans="1:20" x14ac:dyDescent="0.25">
      <c r="O38" s="234" t="s">
        <v>130</v>
      </c>
      <c r="P38" s="232">
        <v>1.9099999999999999E-2</v>
      </c>
      <c r="Q38" s="232">
        <v>6.1899999999999997E-2</v>
      </c>
      <c r="R38" s="232">
        <v>6.54E-2</v>
      </c>
      <c r="S38" s="232">
        <v>0.10680000000000001</v>
      </c>
      <c r="T38" s="96" t="s">
        <v>117</v>
      </c>
    </row>
    <row r="39" spans="1:20" x14ac:dyDescent="0.25">
      <c r="O39" s="235" t="s">
        <v>125</v>
      </c>
      <c r="P39" s="222"/>
      <c r="Q39" s="222"/>
      <c r="R39" s="222"/>
      <c r="S39" s="222"/>
      <c r="T39" s="96"/>
    </row>
    <row r="40" spans="1:20" x14ac:dyDescent="0.25">
      <c r="O40" s="236" t="s">
        <v>127</v>
      </c>
      <c r="P40" s="232">
        <v>4.1200000000000001E-2</v>
      </c>
      <c r="Q40" s="232">
        <v>7.6300000000000007E-2</v>
      </c>
      <c r="R40" s="232">
        <v>7.7200000000000005E-2</v>
      </c>
      <c r="S40" s="232">
        <v>0.1132</v>
      </c>
      <c r="T40" s="233">
        <v>5.5300000000000002E-2</v>
      </c>
    </row>
    <row r="41" spans="1:20" x14ac:dyDescent="0.25">
      <c r="O41" s="234" t="s">
        <v>130</v>
      </c>
      <c r="P41" s="232">
        <v>2.5399999999999999E-2</v>
      </c>
      <c r="Q41" s="232">
        <v>5.8299999999999998E-2</v>
      </c>
      <c r="R41" s="232">
        <v>6.0900000000000003E-2</v>
      </c>
      <c r="S41" s="232">
        <v>9.7000000000000003E-2</v>
      </c>
      <c r="T41" s="96" t="s">
        <v>117</v>
      </c>
    </row>
    <row r="42" spans="1:20" x14ac:dyDescent="0.25">
      <c r="O42" s="95"/>
      <c r="P42" s="222"/>
      <c r="Q42" s="222"/>
      <c r="R42" s="222"/>
      <c r="S42" s="222"/>
      <c r="T42" s="96"/>
    </row>
    <row r="43" spans="1:20" x14ac:dyDescent="0.25">
      <c r="O43" s="95"/>
      <c r="P43" s="222"/>
      <c r="Q43" s="222"/>
      <c r="R43" s="222"/>
      <c r="S43" s="222"/>
      <c r="T43" s="96"/>
    </row>
    <row r="44" spans="1:20" x14ac:dyDescent="0.25">
      <c r="O44" s="95"/>
      <c r="P44" s="237">
        <f>P37/P33</f>
        <v>0.91962905718701704</v>
      </c>
      <c r="Q44" s="237">
        <f t="shared" ref="Q44:S44" si="2">Q37/Q33</f>
        <v>0.93824701195219129</v>
      </c>
      <c r="R44" s="237">
        <f t="shared" si="2"/>
        <v>0.93419740777667004</v>
      </c>
      <c r="S44" s="237">
        <f t="shared" si="2"/>
        <v>0.9569657184536835</v>
      </c>
      <c r="T44" s="96"/>
    </row>
    <row r="45" spans="1:20" x14ac:dyDescent="0.25">
      <c r="O45" s="95"/>
      <c r="P45" s="237">
        <f>P40/P33</f>
        <v>0.63678516228748072</v>
      </c>
      <c r="Q45" s="237">
        <f t="shared" ref="Q45:S45" si="3">Q40/Q33</f>
        <v>0.75996015936254979</v>
      </c>
      <c r="R45" s="237">
        <f t="shared" si="3"/>
        <v>0.76969092721834498</v>
      </c>
      <c r="S45" s="237">
        <f t="shared" si="3"/>
        <v>0.82567469000729388</v>
      </c>
      <c r="T45" s="96"/>
    </row>
    <row r="46" spans="1:20" x14ac:dyDescent="0.25">
      <c r="O46" s="95"/>
      <c r="P46" s="222"/>
      <c r="Q46" s="222"/>
      <c r="R46" s="222"/>
      <c r="S46" s="222"/>
      <c r="T46" s="96"/>
    </row>
    <row r="47" spans="1:20" x14ac:dyDescent="0.25">
      <c r="O47" s="95"/>
      <c r="P47" s="237">
        <f>(P33-P37)/P33</f>
        <v>8.0370942812982946E-2</v>
      </c>
      <c r="Q47" s="237">
        <f t="shared" ref="Q47:S47" si="4">(Q33-Q37)/Q33</f>
        <v>6.1752988047808738E-2</v>
      </c>
      <c r="R47" s="237">
        <f t="shared" si="4"/>
        <v>6.5802592223329959E-2</v>
      </c>
      <c r="S47" s="237">
        <f t="shared" si="4"/>
        <v>4.3034281546316472E-2</v>
      </c>
      <c r="T47" s="96"/>
    </row>
    <row r="48" spans="1:20" ht="15.75" thickBot="1" x14ac:dyDescent="0.3">
      <c r="A48" s="89" t="s">
        <v>29</v>
      </c>
      <c r="O48" s="226"/>
      <c r="P48" s="238">
        <f>(P33-P40)/P33</f>
        <v>0.36321483771251922</v>
      </c>
      <c r="Q48" s="238">
        <f t="shared" ref="Q48:S48" si="5">(Q33-Q40)/Q33</f>
        <v>0.24003984063745015</v>
      </c>
      <c r="R48" s="230">
        <f t="shared" si="5"/>
        <v>0.23030907278165499</v>
      </c>
      <c r="S48" s="238">
        <f t="shared" si="5"/>
        <v>0.1743253099927061</v>
      </c>
      <c r="T48" s="105"/>
    </row>
    <row r="50" spans="15:20" x14ac:dyDescent="0.25">
      <c r="O50" s="89" t="s">
        <v>29</v>
      </c>
    </row>
    <row r="52" spans="15:20" x14ac:dyDescent="0.25">
      <c r="O52" t="s">
        <v>36</v>
      </c>
      <c r="P52" s="40" t="s">
        <v>105</v>
      </c>
      <c r="Q52" s="40" t="s">
        <v>106</v>
      </c>
      <c r="R52" s="40" t="s">
        <v>107</v>
      </c>
      <c r="S52" s="40" t="s">
        <v>108</v>
      </c>
      <c r="T52" s="40" t="s">
        <v>109</v>
      </c>
    </row>
    <row r="53" spans="15:20" x14ac:dyDescent="0.25">
      <c r="O53" t="s">
        <v>111</v>
      </c>
    </row>
    <row r="54" spans="15:20" x14ac:dyDescent="0.25">
      <c r="O54" t="s">
        <v>131</v>
      </c>
      <c r="P54" s="1">
        <v>4.1500000000000002E-2</v>
      </c>
      <c r="Q54" s="1">
        <v>3.7999999999999999E-2</v>
      </c>
      <c r="R54" s="1">
        <v>3.5299999999999998E-2</v>
      </c>
      <c r="S54" s="1">
        <v>3.7600000000000001E-2</v>
      </c>
      <c r="T54" s="1">
        <v>5.3199999999999997E-2</v>
      </c>
    </row>
    <row r="55" spans="15:20" x14ac:dyDescent="0.25">
      <c r="O55" t="s">
        <v>132</v>
      </c>
      <c r="P55" s="1">
        <v>3.1300000000000001E-2</v>
      </c>
      <c r="Q55" s="1">
        <v>3.3500000000000002E-2</v>
      </c>
      <c r="R55" s="1">
        <v>3.1399999999999997E-2</v>
      </c>
      <c r="S55" s="1">
        <v>3.5000000000000003E-2</v>
      </c>
      <c r="T55" t="s">
        <v>117</v>
      </c>
    </row>
    <row r="56" spans="15:20" x14ac:dyDescent="0.25">
      <c r="O56" t="s">
        <v>124</v>
      </c>
    </row>
    <row r="57" spans="15:20" x14ac:dyDescent="0.25">
      <c r="O57" t="s">
        <v>131</v>
      </c>
      <c r="P57" s="1">
        <v>4.1500000000000002E-2</v>
      </c>
      <c r="Q57" s="1">
        <v>3.7999999999999999E-2</v>
      </c>
      <c r="R57" s="1">
        <v>3.5299999999999998E-2</v>
      </c>
      <c r="S57" s="1">
        <v>3.7600000000000001E-2</v>
      </c>
      <c r="T57" s="1">
        <v>5.2699999999999997E-2</v>
      </c>
    </row>
    <row r="58" spans="15:20" x14ac:dyDescent="0.25">
      <c r="O58" t="s">
        <v>132</v>
      </c>
      <c r="P58" s="1">
        <v>2.4299999999999999E-2</v>
      </c>
      <c r="Q58" s="1">
        <v>3.1199999999999999E-2</v>
      </c>
      <c r="R58" s="1">
        <v>2.9399999999999999E-2</v>
      </c>
      <c r="S58" s="1">
        <v>3.3599999999999998E-2</v>
      </c>
      <c r="T58" t="s">
        <v>117</v>
      </c>
    </row>
    <row r="59" spans="15:20" x14ac:dyDescent="0.25">
      <c r="O59" t="s">
        <v>125</v>
      </c>
    </row>
    <row r="60" spans="15:20" x14ac:dyDescent="0.25">
      <c r="O60" t="s">
        <v>131</v>
      </c>
      <c r="P60" s="1">
        <v>3.49E-2</v>
      </c>
      <c r="Q60" s="1">
        <v>3.5400000000000001E-2</v>
      </c>
      <c r="R60" s="1">
        <v>3.3500000000000002E-2</v>
      </c>
      <c r="S60" s="1">
        <v>3.61E-2</v>
      </c>
      <c r="T60" s="1">
        <v>5.2200000000000003E-2</v>
      </c>
    </row>
    <row r="61" spans="15:20" x14ac:dyDescent="0.25">
      <c r="O61" t="s">
        <v>132</v>
      </c>
      <c r="P61" s="1">
        <v>2.4400000000000002E-2</v>
      </c>
      <c r="Q61" s="1">
        <v>2.98E-2</v>
      </c>
      <c r="R61" s="1">
        <v>2.8400000000000002E-2</v>
      </c>
      <c r="S61" s="1">
        <v>3.2599999999999997E-2</v>
      </c>
      <c r="T61" t="s">
        <v>117</v>
      </c>
    </row>
    <row r="64" spans="15:20" x14ac:dyDescent="0.25">
      <c r="P64" s="2">
        <f>P57/P54</f>
        <v>1</v>
      </c>
      <c r="Q64" s="2">
        <f t="shared" ref="Q64:S64" si="6">Q57/Q54</f>
        <v>1</v>
      </c>
      <c r="R64" s="2">
        <f t="shared" si="6"/>
        <v>1</v>
      </c>
      <c r="S64" s="2">
        <f t="shared" si="6"/>
        <v>1</v>
      </c>
    </row>
    <row r="65" spans="1:20" x14ac:dyDescent="0.25">
      <c r="P65" s="2">
        <f>P60/P54</f>
        <v>0.84096385542168672</v>
      </c>
      <c r="Q65" s="2">
        <f t="shared" ref="Q65:S65" si="7">Q60/Q54</f>
        <v>0.93157894736842106</v>
      </c>
      <c r="R65" s="2">
        <f t="shared" si="7"/>
        <v>0.9490084985835695</v>
      </c>
      <c r="S65" s="2">
        <f t="shared" si="7"/>
        <v>0.96010638297872342</v>
      </c>
    </row>
    <row r="67" spans="1:20" x14ac:dyDescent="0.25">
      <c r="P67" s="2">
        <f>(P54-P57)/P54</f>
        <v>0</v>
      </c>
      <c r="Q67" s="2">
        <f t="shared" ref="Q67:S67" si="8">(Q54-Q57)/Q54</f>
        <v>0</v>
      </c>
      <c r="R67" s="2">
        <f t="shared" si="8"/>
        <v>0</v>
      </c>
      <c r="S67" s="2">
        <f t="shared" si="8"/>
        <v>0</v>
      </c>
    </row>
    <row r="68" spans="1:20" x14ac:dyDescent="0.25">
      <c r="A68" s="89" t="s">
        <v>118</v>
      </c>
      <c r="P68" s="2">
        <f>(P54-P60)/P54</f>
        <v>0.15903614457831328</v>
      </c>
      <c r="Q68" s="2">
        <f t="shared" ref="Q68:S68" si="9">(Q54-Q60)/Q54</f>
        <v>6.8421052631578896E-2</v>
      </c>
      <c r="R68" s="107">
        <f t="shared" si="9"/>
        <v>5.0991501416430489E-2</v>
      </c>
      <c r="S68" s="2">
        <f t="shared" si="9"/>
        <v>3.9893617021276633E-2</v>
      </c>
    </row>
    <row r="69" spans="1:20" x14ac:dyDescent="0.25">
      <c r="O69" s="89" t="s">
        <v>118</v>
      </c>
    </row>
    <row r="71" spans="1:20" x14ac:dyDescent="0.25">
      <c r="O71" t="s">
        <v>36</v>
      </c>
      <c r="P71" s="40" t="s">
        <v>105</v>
      </c>
      <c r="Q71" s="40" t="s">
        <v>106</v>
      </c>
      <c r="R71" s="40" t="s">
        <v>107</v>
      </c>
      <c r="S71" s="40" t="s">
        <v>108</v>
      </c>
      <c r="T71" s="40" t="s">
        <v>109</v>
      </c>
    </row>
    <row r="72" spans="1:20" x14ac:dyDescent="0.25">
      <c r="O72" t="s">
        <v>111</v>
      </c>
    </row>
    <row r="73" spans="1:20" x14ac:dyDescent="0.25">
      <c r="O73" t="s">
        <v>133</v>
      </c>
      <c r="P73" s="1">
        <v>1.2699999999999999E-2</v>
      </c>
      <c r="Q73" s="1">
        <v>0.1004</v>
      </c>
      <c r="R73" s="1">
        <v>0.1024</v>
      </c>
      <c r="S73" s="1">
        <v>0.13150000000000001</v>
      </c>
      <c r="T73" s="1">
        <v>8.5500000000000007E-2</v>
      </c>
    </row>
    <row r="74" spans="1:20" x14ac:dyDescent="0.25">
      <c r="O74" t="s">
        <v>134</v>
      </c>
      <c r="P74" s="1">
        <v>7.4800000000000005E-2</v>
      </c>
      <c r="Q74" s="1">
        <v>0.10639999999999999</v>
      </c>
      <c r="R74" s="1">
        <v>0.1047</v>
      </c>
      <c r="S74" s="1">
        <v>0.13969999999999999</v>
      </c>
      <c r="T74" s="1">
        <v>9.7600000000000006E-2</v>
      </c>
    </row>
    <row r="75" spans="1:20" x14ac:dyDescent="0.25">
      <c r="O75" t="s">
        <v>130</v>
      </c>
      <c r="P75" s="1">
        <v>3.7400000000000003E-2</v>
      </c>
      <c r="Q75" s="1">
        <v>8.1500000000000003E-2</v>
      </c>
      <c r="R75" s="1">
        <v>8.3500000000000005E-2</v>
      </c>
      <c r="S75" s="1">
        <v>0.1222</v>
      </c>
      <c r="T75" t="s">
        <v>117</v>
      </c>
    </row>
    <row r="76" spans="1:20" x14ac:dyDescent="0.25">
      <c r="O76" t="s">
        <v>124</v>
      </c>
    </row>
    <row r="77" spans="1:20" x14ac:dyDescent="0.25">
      <c r="O77" t="s">
        <v>133</v>
      </c>
      <c r="P77" s="1">
        <v>6.9999999999999999E-4</v>
      </c>
      <c r="Q77" s="1">
        <v>8.4599999999999995E-2</v>
      </c>
      <c r="R77" s="1">
        <v>8.8700000000000001E-2</v>
      </c>
      <c r="S77" s="1">
        <v>0.1206</v>
      </c>
      <c r="T77" s="1">
        <v>7.1800000000000003E-2</v>
      </c>
    </row>
    <row r="78" spans="1:20" x14ac:dyDescent="0.25">
      <c r="O78" t="s">
        <v>130</v>
      </c>
      <c r="P78" s="1">
        <v>1.9099999999999999E-2</v>
      </c>
      <c r="Q78" s="1">
        <v>6.1899999999999997E-2</v>
      </c>
      <c r="R78" s="1">
        <v>6.54E-2</v>
      </c>
      <c r="S78" s="1">
        <v>0.10680000000000001</v>
      </c>
      <c r="T78" t="s">
        <v>117</v>
      </c>
    </row>
    <row r="79" spans="1:20" x14ac:dyDescent="0.25">
      <c r="O79" t="s">
        <v>125</v>
      </c>
    </row>
    <row r="80" spans="1:20" x14ac:dyDescent="0.25">
      <c r="O80" t="s">
        <v>133</v>
      </c>
      <c r="P80" s="1">
        <v>1.55E-2</v>
      </c>
      <c r="Q80" s="1">
        <v>7.5999999999999998E-2</v>
      </c>
      <c r="R80" s="1">
        <v>7.8700000000000006E-2</v>
      </c>
      <c r="S80" s="1">
        <v>0.1074</v>
      </c>
      <c r="T80" s="1">
        <v>6.7100000000000007E-2</v>
      </c>
    </row>
    <row r="81" spans="1:20" x14ac:dyDescent="0.25">
      <c r="O81" t="s">
        <v>130</v>
      </c>
      <c r="P81" s="1">
        <v>2.5399999999999999E-2</v>
      </c>
      <c r="Q81" s="1">
        <v>5.8299999999999998E-2</v>
      </c>
      <c r="R81" s="1">
        <v>6.0900000000000003E-2</v>
      </c>
      <c r="S81" s="1">
        <v>9.7000000000000003E-2</v>
      </c>
      <c r="T81" t="s">
        <v>117</v>
      </c>
    </row>
    <row r="84" spans="1:20" x14ac:dyDescent="0.25">
      <c r="P84" s="2">
        <f>P77/P74</f>
        <v>9.3582887700534752E-3</v>
      </c>
      <c r="Q84" s="2">
        <f t="shared" ref="Q84:S84" si="10">Q77/Q74</f>
        <v>0.79511278195488722</v>
      </c>
      <c r="R84" s="2">
        <f t="shared" si="10"/>
        <v>0.84718242597898763</v>
      </c>
      <c r="S84" s="2">
        <f t="shared" si="10"/>
        <v>0.86327845382963497</v>
      </c>
    </row>
    <row r="85" spans="1:20" x14ac:dyDescent="0.25">
      <c r="P85" s="2">
        <f>P80/P74</f>
        <v>0.20721925133689839</v>
      </c>
      <c r="Q85" s="2">
        <f t="shared" ref="Q85:S85" si="11">Q80/Q74</f>
        <v>0.7142857142857143</v>
      </c>
      <c r="R85" s="2">
        <f t="shared" si="11"/>
        <v>0.75167144221585491</v>
      </c>
      <c r="S85" s="2">
        <f t="shared" si="11"/>
        <v>0.76879026485325697</v>
      </c>
    </row>
    <row r="87" spans="1:20" x14ac:dyDescent="0.25">
      <c r="A87" s="89" t="s">
        <v>122</v>
      </c>
      <c r="P87" s="2">
        <f>(P74-P77)/P74</f>
        <v>0.99064171122994649</v>
      </c>
      <c r="Q87" s="2">
        <f t="shared" ref="Q87:S87" si="12">(Q74-Q77)/Q74</f>
        <v>0.20488721804511278</v>
      </c>
      <c r="R87" s="2">
        <f t="shared" si="12"/>
        <v>0.15281757402101243</v>
      </c>
      <c r="S87" s="2">
        <f t="shared" si="12"/>
        <v>0.13672154617036503</v>
      </c>
    </row>
    <row r="88" spans="1:20" x14ac:dyDescent="0.25">
      <c r="A88" s="89" t="s">
        <v>121</v>
      </c>
      <c r="P88" s="2">
        <f>(P74-P80)/P74</f>
        <v>0.79278074866310166</v>
      </c>
      <c r="Q88" s="2">
        <f t="shared" ref="Q88:S88" si="13">(Q74-Q80)/Q74</f>
        <v>0.2857142857142857</v>
      </c>
      <c r="R88" s="107">
        <f t="shared" si="13"/>
        <v>0.24832855778414512</v>
      </c>
      <c r="S88" s="2">
        <f t="shared" si="13"/>
        <v>0.23120973514674301</v>
      </c>
    </row>
    <row r="89" spans="1:20" x14ac:dyDescent="0.25">
      <c r="O89" s="89" t="s">
        <v>122</v>
      </c>
    </row>
    <row r="90" spans="1:20" x14ac:dyDescent="0.25">
      <c r="O90" s="89" t="s">
        <v>121</v>
      </c>
    </row>
    <row r="92" spans="1:20" x14ac:dyDescent="0.25">
      <c r="O92" t="s">
        <v>36</v>
      </c>
      <c r="P92" s="40" t="s">
        <v>105</v>
      </c>
      <c r="Q92" s="40" t="s">
        <v>106</v>
      </c>
      <c r="R92" s="40" t="s">
        <v>107</v>
      </c>
      <c r="S92" s="40" t="s">
        <v>108</v>
      </c>
      <c r="T92" s="40" t="s">
        <v>109</v>
      </c>
    </row>
    <row r="93" spans="1:20" x14ac:dyDescent="0.25">
      <c r="O93" t="s">
        <v>111</v>
      </c>
    </row>
    <row r="94" spans="1:20" x14ac:dyDescent="0.25">
      <c r="O94" t="s">
        <v>135</v>
      </c>
      <c r="P94" s="1">
        <v>-6.93E-2</v>
      </c>
      <c r="Q94" s="1">
        <v>2.23E-2</v>
      </c>
      <c r="R94" s="1">
        <v>5.3600000000000002E-2</v>
      </c>
      <c r="S94" s="1">
        <v>9.7100000000000006E-2</v>
      </c>
      <c r="T94" s="1">
        <v>9.5200000000000007E-2</v>
      </c>
    </row>
    <row r="95" spans="1:20" x14ac:dyDescent="0.25">
      <c r="O95" t="s">
        <v>136</v>
      </c>
      <c r="P95" s="1">
        <v>-0.12870000000000001</v>
      </c>
      <c r="Q95" s="1">
        <v>8.0000000000000004E-4</v>
      </c>
      <c r="R95" s="1">
        <v>4.0800000000000003E-2</v>
      </c>
      <c r="S95" s="1">
        <v>9.06E-2</v>
      </c>
      <c r="T95" s="1">
        <v>9.1800000000000007E-2</v>
      </c>
    </row>
    <row r="96" spans="1:20" x14ac:dyDescent="0.25">
      <c r="O96" t="s">
        <v>137</v>
      </c>
      <c r="P96" s="1">
        <v>-9.8100000000000007E-2</v>
      </c>
      <c r="Q96" s="1">
        <v>6.0000000000000001E-3</v>
      </c>
      <c r="R96" s="1">
        <v>3.9800000000000002E-2</v>
      </c>
      <c r="S96" s="1">
        <v>8.8599999999999998E-2</v>
      </c>
      <c r="T96" t="s">
        <v>117</v>
      </c>
    </row>
    <row r="97" spans="15:20" x14ac:dyDescent="0.25">
      <c r="O97" t="s">
        <v>124</v>
      </c>
    </row>
    <row r="98" spans="15:20" x14ac:dyDescent="0.25">
      <c r="O98" t="s">
        <v>135</v>
      </c>
      <c r="P98" s="1">
        <v>-8.2900000000000001E-2</v>
      </c>
      <c r="Q98" s="1">
        <v>7.9000000000000008E-3</v>
      </c>
      <c r="R98" s="1">
        <v>3.9300000000000002E-2</v>
      </c>
      <c r="S98" s="1">
        <v>8.3500000000000005E-2</v>
      </c>
      <c r="T98" s="1">
        <v>7.9600000000000004E-2</v>
      </c>
    </row>
    <row r="99" spans="15:20" x14ac:dyDescent="0.25">
      <c r="O99" t="s">
        <v>137</v>
      </c>
      <c r="P99" s="1">
        <v>-0.1215</v>
      </c>
      <c r="Q99" s="1">
        <v>-1.66E-2</v>
      </c>
      <c r="R99" s="1">
        <v>1.61E-2</v>
      </c>
      <c r="S99" s="1">
        <v>6.93E-2</v>
      </c>
      <c r="T99" t="s">
        <v>117</v>
      </c>
    </row>
    <row r="100" spans="15:20" x14ac:dyDescent="0.25">
      <c r="O100" t="s">
        <v>125</v>
      </c>
    </row>
    <row r="101" spans="15:20" x14ac:dyDescent="0.25">
      <c r="O101" t="s">
        <v>135</v>
      </c>
      <c r="P101" s="1">
        <v>-4.0500000000000001E-2</v>
      </c>
      <c r="Q101" s="1">
        <v>1.12E-2</v>
      </c>
      <c r="R101" s="1">
        <v>3.5499999999999997E-2</v>
      </c>
      <c r="S101" s="1">
        <v>7.2900000000000006E-2</v>
      </c>
      <c r="T101" s="1">
        <v>7.2499999999999995E-2</v>
      </c>
    </row>
    <row r="102" spans="15:20" x14ac:dyDescent="0.25">
      <c r="O102" t="s">
        <v>137</v>
      </c>
      <c r="P102" s="1">
        <v>-5.5100000000000003E-2</v>
      </c>
      <c r="Q102" s="1">
        <v>-1E-3</v>
      </c>
      <c r="R102" s="1">
        <v>2.4299999999999999E-2</v>
      </c>
      <c r="S102" s="1">
        <v>6.6000000000000003E-2</v>
      </c>
      <c r="T102" t="s">
        <v>117</v>
      </c>
    </row>
    <row r="105" spans="15:20" x14ac:dyDescent="0.25">
      <c r="P105" s="2">
        <f>P98/P95</f>
        <v>0.64413364413364405</v>
      </c>
      <c r="Q105" s="2">
        <f t="shared" ref="Q105:S105" si="14">Q98/Q95</f>
        <v>9.875</v>
      </c>
      <c r="R105" s="2">
        <f t="shared" si="14"/>
        <v>0.96323529411764708</v>
      </c>
      <c r="S105" s="2">
        <f t="shared" si="14"/>
        <v>0.92163355408388525</v>
      </c>
    </row>
    <row r="106" spans="15:20" x14ac:dyDescent="0.25">
      <c r="P106" s="2">
        <f>P101/P95</f>
        <v>0.31468531468531469</v>
      </c>
      <c r="Q106" s="2">
        <f t="shared" ref="Q106:S106" si="15">Q101/Q95</f>
        <v>14</v>
      </c>
      <c r="R106" s="2">
        <f t="shared" si="15"/>
        <v>0.87009803921568618</v>
      </c>
      <c r="S106" s="2">
        <f t="shared" si="15"/>
        <v>0.80463576158940409</v>
      </c>
    </row>
    <row r="108" spans="15:20" x14ac:dyDescent="0.25">
      <c r="P108" s="2">
        <f>(P95-P98)/P95</f>
        <v>0.3558663558663559</v>
      </c>
      <c r="Q108" s="2">
        <f t="shared" ref="Q108:S108" si="16">(Q95-Q98)/Q95</f>
        <v>-8.875</v>
      </c>
      <c r="R108" s="2">
        <f t="shared" si="16"/>
        <v>3.676470588235297E-2</v>
      </c>
      <c r="S108" s="2">
        <f t="shared" si="16"/>
        <v>7.8366445916114733E-2</v>
      </c>
    </row>
    <row r="109" spans="15:20" x14ac:dyDescent="0.25">
      <c r="P109" s="2">
        <f>(P95-P101)/P95</f>
        <v>0.68531468531468531</v>
      </c>
      <c r="Q109" s="2">
        <f t="shared" ref="Q109:S109" si="17">(Q95-Q101)/Q95</f>
        <v>-12.999999999999998</v>
      </c>
      <c r="R109" s="107">
        <f t="shared" si="17"/>
        <v>0.12990196078431387</v>
      </c>
      <c r="S109" s="2">
        <f t="shared" si="17"/>
        <v>0.19536423841059594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76E3C-CABB-42C1-A41A-EEEB353373EE}">
  <dimension ref="A1:R24"/>
  <sheetViews>
    <sheetView workbookViewId="0"/>
  </sheetViews>
  <sheetFormatPr defaultRowHeight="15" x14ac:dyDescent="0.25"/>
  <sheetData>
    <row r="1" spans="1:18" x14ac:dyDescent="0.25">
      <c r="J1" t="s">
        <v>75</v>
      </c>
      <c r="K1" t="s">
        <v>6</v>
      </c>
      <c r="L1" s="2">
        <f>1%*5</f>
        <v>0.05</v>
      </c>
      <c r="M1" s="7">
        <f>L1/L2</f>
        <v>500</v>
      </c>
      <c r="Q1" s="4">
        <v>0.01</v>
      </c>
    </row>
    <row r="2" spans="1:18" x14ac:dyDescent="0.25">
      <c r="A2" t="s">
        <v>0</v>
      </c>
      <c r="B2" t="s">
        <v>1</v>
      </c>
      <c r="C2" t="s">
        <v>2</v>
      </c>
      <c r="D2" t="s">
        <v>3</v>
      </c>
      <c r="E2" t="s">
        <v>79</v>
      </c>
      <c r="K2" t="s">
        <v>7</v>
      </c>
      <c r="L2" s="5">
        <v>1E-4</v>
      </c>
      <c r="M2" s="40" t="s">
        <v>80</v>
      </c>
      <c r="O2" t="s">
        <v>8</v>
      </c>
      <c r="P2">
        <v>200000</v>
      </c>
      <c r="Q2">
        <v>40000</v>
      </c>
      <c r="R2" t="s">
        <v>9</v>
      </c>
    </row>
    <row r="3" spans="1:18" ht="15.75" thickBot="1" x14ac:dyDescent="0.3">
      <c r="A3" t="s">
        <v>5</v>
      </c>
      <c r="O3">
        <v>1</v>
      </c>
      <c r="P3">
        <f>P2 - Q2</f>
        <v>160000</v>
      </c>
      <c r="Q3" s="6">
        <f>P3*(1+Q1)</f>
        <v>161600</v>
      </c>
    </row>
    <row r="4" spans="1:18" x14ac:dyDescent="0.25">
      <c r="B4" s="1">
        <f>AVERAGE(B5:B24)</f>
        <v>2.1440000000000001E-2</v>
      </c>
      <c r="J4" s="31" t="s">
        <v>76</v>
      </c>
      <c r="K4" s="32" t="s">
        <v>6</v>
      </c>
      <c r="L4" s="33">
        <f>L1</f>
        <v>0.05</v>
      </c>
      <c r="M4" s="41">
        <f>L4/L5</f>
        <v>166.66666666666669</v>
      </c>
      <c r="O4">
        <v>2</v>
      </c>
      <c r="P4" s="6">
        <f>Q3-Q2</f>
        <v>121600</v>
      </c>
      <c r="Q4" s="6">
        <f>P4*(1+Q1)</f>
        <v>122816</v>
      </c>
    </row>
    <row r="5" spans="1:18" ht="15.75" thickBot="1" x14ac:dyDescent="0.3">
      <c r="A5">
        <v>2000</v>
      </c>
      <c r="B5" s="1">
        <v>3.39E-2</v>
      </c>
      <c r="C5" s="1">
        <v>5.9900000000000002E-2</v>
      </c>
      <c r="D5" s="3">
        <v>1060</v>
      </c>
      <c r="E5" s="1">
        <v>5.9900000000000002E-2</v>
      </c>
      <c r="F5" s="1"/>
      <c r="G5" s="1"/>
      <c r="H5" s="1"/>
      <c r="I5" s="1"/>
      <c r="J5" s="35"/>
      <c r="K5" s="36" t="s">
        <v>7</v>
      </c>
      <c r="L5" s="38">
        <v>2.9999999999999997E-4</v>
      </c>
      <c r="M5" s="39" t="s">
        <v>80</v>
      </c>
      <c r="O5">
        <v>3</v>
      </c>
      <c r="P5" s="6">
        <f>Q4-Q2</f>
        <v>82816</v>
      </c>
      <c r="Q5" s="6">
        <f>P5*(1+Q1)</f>
        <v>83644.160000000003</v>
      </c>
    </row>
    <row r="6" spans="1:18" x14ac:dyDescent="0.25">
      <c r="A6">
        <v>2001</v>
      </c>
      <c r="B6" s="1">
        <v>1.55E-2</v>
      </c>
      <c r="C6" s="1">
        <v>3.6999999999999998E-2</v>
      </c>
      <c r="D6" s="3">
        <v>1099</v>
      </c>
      <c r="E6" s="1">
        <v>3.6999999999999998E-2</v>
      </c>
      <c r="F6" s="1"/>
      <c r="G6" s="1"/>
      <c r="H6" s="1"/>
      <c r="I6" s="1"/>
      <c r="O6">
        <v>4</v>
      </c>
      <c r="P6" s="6">
        <f>Q5-Q2</f>
        <v>43644.160000000003</v>
      </c>
      <c r="Q6" s="6">
        <f>P6*(1+Q1)</f>
        <v>44080.601600000002</v>
      </c>
    </row>
    <row r="7" spans="1:18" x14ac:dyDescent="0.25">
      <c r="A7">
        <v>2002</v>
      </c>
      <c r="B7" s="1">
        <v>2.3800000000000002E-2</v>
      </c>
      <c r="C7" s="1">
        <v>1.6500000000000001E-2</v>
      </c>
      <c r="D7" s="3">
        <v>1117</v>
      </c>
      <c r="E7" s="1">
        <v>1.6500000000000001E-2</v>
      </c>
      <c r="F7" s="1"/>
      <c r="G7" s="1"/>
      <c r="H7" s="1"/>
      <c r="I7" s="1"/>
      <c r="O7">
        <v>5</v>
      </c>
      <c r="P7" s="6">
        <f>Q6-Q2</f>
        <v>4080.6016000000018</v>
      </c>
      <c r="Q7" s="6">
        <f>P7*(1+Q1)</f>
        <v>4121.4076160000022</v>
      </c>
    </row>
    <row r="8" spans="1:18" x14ac:dyDescent="0.25">
      <c r="A8">
        <v>2003</v>
      </c>
      <c r="B8" s="1">
        <v>1.8800000000000001E-2</v>
      </c>
      <c r="C8" s="1">
        <v>1.04E-2</v>
      </c>
      <c r="D8" s="3">
        <v>1129</v>
      </c>
      <c r="E8" s="1">
        <v>1.04E-2</v>
      </c>
      <c r="F8" s="1"/>
      <c r="G8" s="1"/>
      <c r="H8" s="1"/>
      <c r="I8" s="1"/>
    </row>
    <row r="9" spans="1:18" x14ac:dyDescent="0.25">
      <c r="A9">
        <v>2004</v>
      </c>
      <c r="B9" s="1">
        <v>3.2599999999999997E-2</v>
      </c>
      <c r="C9" s="1">
        <v>1.32E-2</v>
      </c>
      <c r="D9" s="3">
        <v>1144</v>
      </c>
      <c r="E9" s="1">
        <v>1.32E-2</v>
      </c>
      <c r="F9" s="1"/>
      <c r="G9" s="1"/>
      <c r="H9" s="1"/>
      <c r="I9" s="1"/>
    </row>
    <row r="10" spans="1:18" x14ac:dyDescent="0.25">
      <c r="A10">
        <v>2005</v>
      </c>
      <c r="B10" s="1">
        <v>3.4200000000000001E-2</v>
      </c>
      <c r="C10" s="1">
        <v>3.1399999999999997E-2</v>
      </c>
      <c r="D10" s="3">
        <v>1180</v>
      </c>
      <c r="E10" s="1">
        <v>3.1399999999999997E-2</v>
      </c>
      <c r="F10" s="1"/>
      <c r="G10" s="1"/>
      <c r="H10" s="1"/>
      <c r="I10" s="1"/>
      <c r="O10" t="s">
        <v>10</v>
      </c>
    </row>
    <row r="11" spans="1:18" x14ac:dyDescent="0.25">
      <c r="A11">
        <v>2006</v>
      </c>
      <c r="B11" s="1">
        <v>2.5399999999999999E-2</v>
      </c>
      <c r="C11" s="1">
        <v>4.82E-2</v>
      </c>
      <c r="D11" s="3">
        <v>1237</v>
      </c>
      <c r="E11" s="1">
        <v>4.82E-2</v>
      </c>
      <c r="F11" s="1"/>
      <c r="G11" s="1"/>
      <c r="H11" s="1"/>
      <c r="I11" s="1"/>
      <c r="O11" t="s">
        <v>11</v>
      </c>
    </row>
    <row r="12" spans="1:18" x14ac:dyDescent="0.25">
      <c r="A12">
        <v>2007</v>
      </c>
      <c r="B12" s="1">
        <v>4.0800000000000003E-2</v>
      </c>
      <c r="C12" s="1">
        <v>4.5600000000000002E-2</v>
      </c>
      <c r="D12" s="3">
        <v>1293</v>
      </c>
      <c r="E12" s="1">
        <v>4.5600000000000002E-2</v>
      </c>
      <c r="F12" s="1"/>
      <c r="G12" s="1"/>
      <c r="H12" s="1"/>
      <c r="I12" s="1"/>
    </row>
    <row r="13" spans="1:18" x14ac:dyDescent="0.25">
      <c r="A13">
        <v>2008</v>
      </c>
      <c r="B13" s="1">
        <v>8.9999999999999998E-4</v>
      </c>
      <c r="C13" s="1">
        <v>1.5299999999999999E-2</v>
      </c>
      <c r="D13" s="3">
        <v>1313</v>
      </c>
      <c r="E13" s="1">
        <v>1.5299999999999999E-2</v>
      </c>
      <c r="F13" s="1"/>
      <c r="G13" s="1"/>
      <c r="H13" s="1"/>
      <c r="I13" s="1"/>
    </row>
    <row r="14" spans="1:18" x14ac:dyDescent="0.25">
      <c r="A14">
        <v>2009</v>
      </c>
      <c r="B14" s="1">
        <v>2.7199999999999998E-2</v>
      </c>
      <c r="C14" s="1">
        <v>1.6000000000000001E-3</v>
      </c>
      <c r="D14" s="3">
        <v>1315</v>
      </c>
      <c r="E14" s="1">
        <v>1.6000000000000001E-3</v>
      </c>
      <c r="F14" s="1"/>
      <c r="G14" s="1"/>
      <c r="H14" s="1"/>
      <c r="I14" s="1"/>
    </row>
    <row r="15" spans="1:18" x14ac:dyDescent="0.25">
      <c r="A15">
        <v>2010</v>
      </c>
      <c r="B15" s="1">
        <v>1.4999999999999999E-2</v>
      </c>
      <c r="C15" s="1">
        <v>1.4E-3</v>
      </c>
      <c r="D15" s="3">
        <v>1317</v>
      </c>
      <c r="E15" s="1">
        <v>1.4E-3</v>
      </c>
      <c r="F15" s="1"/>
      <c r="G15" s="1"/>
      <c r="H15" s="1"/>
      <c r="I15" s="1"/>
    </row>
    <row r="16" spans="1:18" x14ac:dyDescent="0.25">
      <c r="A16">
        <v>2011</v>
      </c>
      <c r="B16" s="1">
        <v>2.9600000000000001E-2</v>
      </c>
      <c r="C16" s="1">
        <v>6.9999999999999999E-4</v>
      </c>
      <c r="D16" s="3">
        <v>1318</v>
      </c>
      <c r="E16" s="1">
        <v>6.9999999999999999E-4</v>
      </c>
      <c r="F16" s="1"/>
      <c r="G16" s="1"/>
      <c r="H16" s="1"/>
      <c r="I16" s="1"/>
    </row>
    <row r="17" spans="1:9" x14ac:dyDescent="0.25">
      <c r="A17">
        <v>2012</v>
      </c>
      <c r="B17" s="1">
        <v>1.7399999999999999E-2</v>
      </c>
      <c r="C17" s="1">
        <v>8.0000000000000004E-4</v>
      </c>
      <c r="D17" s="3">
        <v>1319</v>
      </c>
      <c r="E17" s="1">
        <v>8.0000000000000004E-4</v>
      </c>
      <c r="F17" s="1"/>
      <c r="G17" s="1"/>
      <c r="H17" s="1"/>
      <c r="I17" s="1"/>
    </row>
    <row r="18" spans="1:9" x14ac:dyDescent="0.25">
      <c r="A18">
        <v>2013</v>
      </c>
      <c r="B18" s="1">
        <v>1.4999999999999999E-2</v>
      </c>
      <c r="C18" s="1">
        <v>5.0000000000000001E-4</v>
      </c>
      <c r="D18" s="3">
        <v>1319</v>
      </c>
      <c r="E18" s="1">
        <v>5.0000000000000001E-4</v>
      </c>
      <c r="F18" s="1"/>
      <c r="G18" s="1"/>
      <c r="H18" s="1"/>
      <c r="I18" s="1"/>
    </row>
    <row r="19" spans="1:9" x14ac:dyDescent="0.25">
      <c r="A19">
        <v>2014</v>
      </c>
      <c r="B19" s="1">
        <v>7.6E-3</v>
      </c>
      <c r="C19" s="1">
        <v>2.9999999999999997E-4</v>
      </c>
      <c r="D19" s="3">
        <v>1320</v>
      </c>
      <c r="E19" s="1">
        <v>2.9999999999999997E-4</v>
      </c>
      <c r="F19" s="1"/>
      <c r="G19" s="1"/>
      <c r="H19" s="1"/>
      <c r="I19" s="1"/>
    </row>
    <row r="20" spans="1:9" x14ac:dyDescent="0.25">
      <c r="A20">
        <v>2015</v>
      </c>
      <c r="B20" s="1">
        <v>7.3000000000000001E-3</v>
      </c>
      <c r="C20" s="1">
        <v>5.0000000000000001E-4</v>
      </c>
      <c r="D20" s="3">
        <v>1320</v>
      </c>
      <c r="E20" s="1">
        <v>5.0000000000000001E-4</v>
      </c>
      <c r="F20" s="1"/>
      <c r="G20" s="1"/>
      <c r="H20" s="1"/>
      <c r="I20" s="1"/>
    </row>
    <row r="21" spans="1:9" x14ac:dyDescent="0.25">
      <c r="A21">
        <v>2016</v>
      </c>
      <c r="B21" s="1">
        <v>2.07E-2</v>
      </c>
      <c r="C21" s="1">
        <v>3.0000000000000001E-3</v>
      </c>
      <c r="D21" s="3">
        <v>1324</v>
      </c>
      <c r="E21" s="1">
        <v>3.0000000000000001E-3</v>
      </c>
      <c r="F21" s="1"/>
      <c r="G21" s="1"/>
      <c r="H21" s="1"/>
      <c r="I21" s="1"/>
    </row>
    <row r="22" spans="1:9" x14ac:dyDescent="0.25">
      <c r="A22">
        <v>2017</v>
      </c>
      <c r="B22" s="1">
        <v>2.1100000000000001E-2</v>
      </c>
      <c r="C22" s="1">
        <v>8.8000000000000005E-3</v>
      </c>
      <c r="D22" s="3">
        <v>1336</v>
      </c>
      <c r="E22" s="1">
        <v>8.8000000000000005E-3</v>
      </c>
      <c r="F22" s="1"/>
      <c r="G22" s="1"/>
      <c r="H22" s="1"/>
      <c r="I22" s="1"/>
    </row>
    <row r="23" spans="1:9" x14ac:dyDescent="0.25">
      <c r="A23">
        <v>2018</v>
      </c>
      <c r="B23" s="1">
        <v>1.9099999999999999E-2</v>
      </c>
      <c r="C23" s="1">
        <v>1.9E-2</v>
      </c>
      <c r="D23" s="3">
        <v>1361</v>
      </c>
      <c r="E23" s="1">
        <v>1.9E-2</v>
      </c>
      <c r="F23" s="1"/>
      <c r="G23" s="1"/>
      <c r="H23" s="1"/>
      <c r="I23" s="1"/>
    </row>
    <row r="24" spans="1:9" x14ac:dyDescent="0.25">
      <c r="A24">
        <v>2019</v>
      </c>
      <c r="B24" s="1">
        <v>2.29E-2</v>
      </c>
      <c r="C24" s="1">
        <v>2.1299999999999999E-2</v>
      </c>
      <c r="D24" s="3">
        <v>1390</v>
      </c>
      <c r="E24" s="1">
        <v>2.1299999999999999E-2</v>
      </c>
      <c r="F24" s="1"/>
      <c r="G24" s="1"/>
      <c r="H24" s="1"/>
      <c r="I24" s="1"/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962EE-9D0F-42C3-AEE1-F00523721A66}">
  <dimension ref="A1:W145"/>
  <sheetViews>
    <sheetView workbookViewId="0"/>
  </sheetViews>
  <sheetFormatPr defaultRowHeight="15" x14ac:dyDescent="0.25"/>
  <cols>
    <col min="11" max="11" width="11.5703125" bestFit="1" customWidth="1"/>
    <col min="13" max="13" width="9.5703125" bestFit="1" customWidth="1"/>
  </cols>
  <sheetData>
    <row r="1" spans="1:23" x14ac:dyDescent="0.25">
      <c r="D1" t="s">
        <v>138</v>
      </c>
      <c r="K1" t="s">
        <v>75</v>
      </c>
      <c r="L1" t="s">
        <v>6</v>
      </c>
      <c r="M1" s="2">
        <f>C4*5</f>
        <v>0.39834999999999998</v>
      </c>
      <c r="N1" s="7">
        <f>M1/M2</f>
        <v>0.78107843137254895</v>
      </c>
      <c r="R1" s="127">
        <f>C4</f>
        <v>7.9669999999999991E-2</v>
      </c>
      <c r="V1" s="126">
        <f>D4</f>
        <v>5.1556171485543367E-2</v>
      </c>
    </row>
    <row r="2" spans="1:23" ht="23.25" x14ac:dyDescent="0.25">
      <c r="A2" t="s">
        <v>0</v>
      </c>
      <c r="B2" t="s">
        <v>1</v>
      </c>
      <c r="C2" t="s">
        <v>2</v>
      </c>
      <c r="E2" t="s">
        <v>3</v>
      </c>
      <c r="F2" t="s">
        <v>4</v>
      </c>
      <c r="L2" t="s">
        <v>7</v>
      </c>
      <c r="M2" s="5">
        <v>0.51</v>
      </c>
      <c r="P2" t="s">
        <v>8</v>
      </c>
      <c r="Q2">
        <v>200000</v>
      </c>
      <c r="R2">
        <v>40000</v>
      </c>
      <c r="S2" s="122" t="s">
        <v>9</v>
      </c>
      <c r="T2" t="s">
        <v>8</v>
      </c>
      <c r="U2">
        <v>200000</v>
      </c>
      <c r="V2">
        <v>40000</v>
      </c>
      <c r="W2" t="s">
        <v>9</v>
      </c>
    </row>
    <row r="3" spans="1:23" ht="15.75" thickBot="1" x14ac:dyDescent="0.3">
      <c r="A3" t="s">
        <v>5</v>
      </c>
      <c r="P3">
        <v>1</v>
      </c>
      <c r="Q3">
        <f>Q2 - R2</f>
        <v>160000</v>
      </c>
      <c r="R3" s="6">
        <f>Q3*(1+R1)</f>
        <v>172747.19999999998</v>
      </c>
      <c r="T3">
        <v>1</v>
      </c>
      <c r="U3">
        <f>U2 - V2</f>
        <v>160000</v>
      </c>
      <c r="V3" s="6">
        <f>U3*(1+V1)</f>
        <v>168248.98743768691</v>
      </c>
    </row>
    <row r="4" spans="1:23" x14ac:dyDescent="0.25">
      <c r="C4" s="1">
        <f>AVERAGE(C5:C24)</f>
        <v>7.9669999999999991E-2</v>
      </c>
      <c r="D4" s="108">
        <f>AVERAGE(D5:D24)</f>
        <v>5.1556171485543367E-2</v>
      </c>
      <c r="I4" s="2" t="s">
        <v>36</v>
      </c>
      <c r="K4" s="31" t="s">
        <v>76</v>
      </c>
      <c r="L4" s="32" t="s">
        <v>6</v>
      </c>
      <c r="M4" s="33">
        <f>M1</f>
        <v>0.39834999999999998</v>
      </c>
      <c r="N4" s="34">
        <f>M4/M5</f>
        <v>1.0754589632829372</v>
      </c>
      <c r="P4">
        <v>2</v>
      </c>
      <c r="Q4" s="6">
        <f>R3-R2</f>
        <v>132747.19999999998</v>
      </c>
      <c r="R4" s="6">
        <f>Q4*(1+R1)</f>
        <v>143323.16942399996</v>
      </c>
      <c r="T4">
        <v>2</v>
      </c>
      <c r="U4" s="6">
        <f>V3-V2</f>
        <v>128248.98743768691</v>
      </c>
      <c r="V4" s="6">
        <f>U4*(1+V1)</f>
        <v>134861.01422687157</v>
      </c>
    </row>
    <row r="5" spans="1:23" ht="15.75" thickBot="1" x14ac:dyDescent="0.3">
      <c r="A5">
        <v>2000</v>
      </c>
      <c r="B5" s="1">
        <v>3.39E-2</v>
      </c>
      <c r="C5" s="1">
        <v>-0.1057</v>
      </c>
      <c r="D5" s="108">
        <f>C5</f>
        <v>-0.1057</v>
      </c>
      <c r="E5" s="3">
        <v>894</v>
      </c>
      <c r="F5" s="1">
        <v>-0.1057</v>
      </c>
      <c r="I5">
        <v>1</v>
      </c>
      <c r="K5" s="35"/>
      <c r="L5" s="36" t="s">
        <v>7</v>
      </c>
      <c r="M5" s="38">
        <v>0.37040000000000001</v>
      </c>
      <c r="N5" s="37"/>
      <c r="P5">
        <v>3</v>
      </c>
      <c r="Q5" s="6">
        <f>R4-R2</f>
        <v>103323.16942399996</v>
      </c>
      <c r="R5" s="6">
        <f>Q5*(1+R1)</f>
        <v>111554.92633201003</v>
      </c>
      <c r="T5">
        <v>3</v>
      </c>
      <c r="U5" s="6">
        <f>V4-V2</f>
        <v>94861.014226871572</v>
      </c>
      <c r="V5" s="6">
        <f>U5*(1+V1)</f>
        <v>99751.684943644723</v>
      </c>
    </row>
    <row r="6" spans="1:23" ht="15.75" thickBot="1" x14ac:dyDescent="0.3">
      <c r="A6">
        <v>2001</v>
      </c>
      <c r="B6" s="1">
        <v>1.55E-2</v>
      </c>
      <c r="C6" s="1">
        <v>-0.10970000000000001</v>
      </c>
      <c r="D6" s="108">
        <f t="shared" ref="D6:D24" si="0">C6</f>
        <v>-0.10970000000000001</v>
      </c>
      <c r="E6" s="3">
        <v>796</v>
      </c>
      <c r="F6" s="1">
        <v>-0.10970000000000001</v>
      </c>
      <c r="I6">
        <v>2</v>
      </c>
      <c r="P6">
        <v>4</v>
      </c>
      <c r="Q6" s="6">
        <f>R5-R2</f>
        <v>71554.926332010029</v>
      </c>
      <c r="R6" s="6">
        <f>Q6*(1+R1)</f>
        <v>77255.707312881263</v>
      </c>
      <c r="T6">
        <v>4</v>
      </c>
      <c r="U6" s="6">
        <f>V5-V2</f>
        <v>59751.684943644723</v>
      </c>
      <c r="V6" s="6">
        <f>U6*(1+V1)</f>
        <v>62832.253059149421</v>
      </c>
    </row>
    <row r="7" spans="1:23" x14ac:dyDescent="0.25">
      <c r="A7">
        <v>2002</v>
      </c>
      <c r="B7" s="1">
        <v>2.3800000000000002E-2</v>
      </c>
      <c r="C7" s="1">
        <v>-0.20960000000000001</v>
      </c>
      <c r="D7" s="108">
        <f t="shared" si="0"/>
        <v>-0.20960000000000001</v>
      </c>
      <c r="E7" s="3">
        <v>629</v>
      </c>
      <c r="F7" s="1">
        <v>-0.20960000000000001</v>
      </c>
      <c r="I7">
        <v>3</v>
      </c>
      <c r="K7" s="113" t="s">
        <v>139</v>
      </c>
      <c r="L7" s="114" t="s">
        <v>6</v>
      </c>
      <c r="M7" s="115">
        <f>D4*5</f>
        <v>0.25778085742771684</v>
      </c>
      <c r="N7" s="116">
        <f>M7/M8</f>
        <v>0.69595263884372793</v>
      </c>
      <c r="P7">
        <v>5</v>
      </c>
      <c r="Q7" s="6">
        <f>R6-R2</f>
        <v>37255.707312881263</v>
      </c>
      <c r="R7" s="109">
        <f>Q7*(1+R1)</f>
        <v>40223.86951449851</v>
      </c>
      <c r="T7">
        <v>5</v>
      </c>
      <c r="U7" s="6">
        <f>V6-V2</f>
        <v>22832.253059149421</v>
      </c>
      <c r="V7" s="124">
        <f>U7*(1+V1)</f>
        <v>24009.396613268247</v>
      </c>
    </row>
    <row r="8" spans="1:23" ht="15.75" thickBot="1" x14ac:dyDescent="0.3">
      <c r="A8">
        <v>2003</v>
      </c>
      <c r="B8" s="1">
        <v>1.8800000000000001E-2</v>
      </c>
      <c r="C8" s="1">
        <v>0.3135</v>
      </c>
      <c r="D8" s="1">
        <f>C8-C8*('TAX reduces gains by'!$Y$4)</f>
        <v>0.24129810568295118</v>
      </c>
      <c r="E8" s="3">
        <v>827</v>
      </c>
      <c r="F8" s="1">
        <v>0.3135</v>
      </c>
      <c r="I8">
        <v>4</v>
      </c>
      <c r="K8" s="117" t="s">
        <v>138</v>
      </c>
      <c r="L8" s="118" t="s">
        <v>7</v>
      </c>
      <c r="M8" s="119">
        <f>M5</f>
        <v>0.37040000000000001</v>
      </c>
      <c r="N8" s="120"/>
      <c r="R8" t="s">
        <v>148</v>
      </c>
      <c r="V8" s="123" t="s">
        <v>149</v>
      </c>
    </row>
    <row r="9" spans="1:23" ht="15.75" thickBot="1" x14ac:dyDescent="0.3">
      <c r="A9">
        <v>2004</v>
      </c>
      <c r="B9" s="1">
        <v>3.2599999999999997E-2</v>
      </c>
      <c r="C9" s="1">
        <v>0.12509999999999999</v>
      </c>
      <c r="D9" s="1">
        <f>C9-C9*('TAX reduces gains by'!$Y$4)</f>
        <v>9.6288334995014949E-2</v>
      </c>
      <c r="E9" s="3">
        <v>930</v>
      </c>
      <c r="F9" s="1">
        <v>0.12509999999999999</v>
      </c>
      <c r="I9">
        <v>5</v>
      </c>
    </row>
    <row r="10" spans="1:23" x14ac:dyDescent="0.25">
      <c r="A10">
        <v>2005</v>
      </c>
      <c r="B10" s="1">
        <v>3.4200000000000001E-2</v>
      </c>
      <c r="C10" s="1">
        <v>5.9799999999999999E-2</v>
      </c>
      <c r="D10" s="1">
        <f>C10-C10*('TAX reduces gains by'!$Y$4)</f>
        <v>4.6027517447657026E-2</v>
      </c>
      <c r="E10" s="3">
        <v>986</v>
      </c>
      <c r="F10" s="1">
        <v>5.9799999999999999E-2</v>
      </c>
      <c r="I10">
        <v>6</v>
      </c>
      <c r="K10" s="241" t="s">
        <v>184</v>
      </c>
      <c r="L10" s="242" t="s">
        <v>6</v>
      </c>
      <c r="M10" s="243">
        <f>(C4-C4*'TAX reduces gains by'!Y19)*5</f>
        <v>0.3066063808574277</v>
      </c>
      <c r="N10" s="244">
        <f>M10/M11</f>
        <v>0.82777100663452396</v>
      </c>
      <c r="P10" t="s">
        <v>10</v>
      </c>
    </row>
    <row r="11" spans="1:23" ht="15.75" thickBot="1" x14ac:dyDescent="0.3">
      <c r="A11">
        <v>2006</v>
      </c>
      <c r="B11" s="1">
        <v>2.5399999999999999E-2</v>
      </c>
      <c r="C11" s="1">
        <v>0.15509999999999999</v>
      </c>
      <c r="D11" s="1">
        <f>C11-C11*('TAX reduces gains by'!$Y$4)</f>
        <v>0.1193790628115653</v>
      </c>
      <c r="E11" s="3">
        <v>1139</v>
      </c>
      <c r="F11" s="1">
        <v>0.15509999999999999</v>
      </c>
      <c r="I11">
        <v>7</v>
      </c>
      <c r="K11" s="245" t="s">
        <v>183</v>
      </c>
      <c r="L11" s="246" t="s">
        <v>7</v>
      </c>
      <c r="M11" s="247">
        <f>M8</f>
        <v>0.37040000000000001</v>
      </c>
      <c r="N11" s="248"/>
      <c r="P11" t="s">
        <v>11</v>
      </c>
    </row>
    <row r="12" spans="1:23" x14ac:dyDescent="0.25">
      <c r="A12">
        <v>2007</v>
      </c>
      <c r="B12" s="1">
        <v>4.0800000000000003E-2</v>
      </c>
      <c r="C12" s="1">
        <v>5.4899999999999997E-2</v>
      </c>
      <c r="D12" s="1">
        <f>C12-C12*('TAX reduces gains by'!$Y$4)</f>
        <v>4.2256031904287138E-2</v>
      </c>
      <c r="E12" s="3">
        <v>1201</v>
      </c>
      <c r="F12" s="1">
        <v>5.4899999999999997E-2</v>
      </c>
      <c r="I12">
        <v>8</v>
      </c>
    </row>
    <row r="13" spans="1:23" x14ac:dyDescent="0.25">
      <c r="A13">
        <v>2008</v>
      </c>
      <c r="B13" s="1">
        <v>8.9999999999999998E-4</v>
      </c>
      <c r="C13" s="1">
        <v>-0.37040000000000001</v>
      </c>
      <c r="D13" s="108">
        <f t="shared" si="0"/>
        <v>-0.37040000000000001</v>
      </c>
      <c r="E13" s="3">
        <v>756</v>
      </c>
      <c r="F13" s="1">
        <v>-0.37040000000000001</v>
      </c>
      <c r="I13">
        <v>9</v>
      </c>
    </row>
    <row r="14" spans="1:23" x14ac:dyDescent="0.25">
      <c r="A14">
        <v>2009</v>
      </c>
      <c r="B14" s="1">
        <v>2.7199999999999998E-2</v>
      </c>
      <c r="C14" s="1">
        <v>0.28699999999999998</v>
      </c>
      <c r="D14" s="1">
        <f>C14-C14*('TAX reduces gains by'!$Y$4)</f>
        <v>0.22090129611166498</v>
      </c>
      <c r="E14" s="3">
        <v>973</v>
      </c>
      <c r="F14" s="1">
        <v>0.28699999999999998</v>
      </c>
      <c r="I14">
        <v>10</v>
      </c>
    </row>
    <row r="15" spans="1:23" x14ac:dyDescent="0.25">
      <c r="A15">
        <v>2010</v>
      </c>
      <c r="B15" s="1">
        <v>1.4999999999999999E-2</v>
      </c>
      <c r="C15" s="1">
        <v>0.1709</v>
      </c>
      <c r="D15" s="1">
        <f>C15-C15*('TAX reduces gains by'!$Y$4)</f>
        <v>0.13154017946161517</v>
      </c>
      <c r="E15" s="3">
        <v>1140</v>
      </c>
      <c r="F15" s="1">
        <v>0.1709</v>
      </c>
      <c r="I15">
        <v>11</v>
      </c>
    </row>
    <row r="16" spans="1:23" x14ac:dyDescent="0.25">
      <c r="A16">
        <v>2011</v>
      </c>
      <c r="B16" s="1">
        <v>2.9600000000000001E-2</v>
      </c>
      <c r="C16" s="1">
        <v>9.5999999999999992E-3</v>
      </c>
      <c r="D16" s="1">
        <f>C16-C16*('TAX reduces gains by'!$Y$4)</f>
        <v>7.3890329012961109E-3</v>
      </c>
      <c r="E16" s="3">
        <v>1151</v>
      </c>
      <c r="F16" s="1">
        <v>9.5999999999999992E-3</v>
      </c>
      <c r="I16">
        <v>12</v>
      </c>
    </row>
    <row r="17" spans="1:17" x14ac:dyDescent="0.25">
      <c r="A17">
        <v>2012</v>
      </c>
      <c r="B17" s="1">
        <v>1.7399999999999999E-2</v>
      </c>
      <c r="C17" s="1">
        <v>0.16250000000000001</v>
      </c>
      <c r="D17" s="1">
        <f>C17-C17*('TAX reduces gains by'!$Y$4)</f>
        <v>0.12507477567298106</v>
      </c>
      <c r="E17" s="3">
        <v>1338</v>
      </c>
      <c r="F17" s="1">
        <v>0.16250000000000001</v>
      </c>
      <c r="I17">
        <v>13</v>
      </c>
    </row>
    <row r="18" spans="1:17" x14ac:dyDescent="0.25">
      <c r="A18">
        <v>2013</v>
      </c>
      <c r="B18" s="1">
        <v>1.4999999999999999E-2</v>
      </c>
      <c r="C18" s="1">
        <v>0.33350000000000002</v>
      </c>
      <c r="D18" s="1">
        <f>C18-C18*('TAX reduces gains by'!$Y$4)</f>
        <v>0.25669192422731807</v>
      </c>
      <c r="E18" s="3">
        <v>1784</v>
      </c>
      <c r="F18" s="1">
        <v>0.33350000000000002</v>
      </c>
      <c r="I18">
        <v>14</v>
      </c>
    </row>
    <row r="19" spans="1:17" x14ac:dyDescent="0.25">
      <c r="A19">
        <v>2014</v>
      </c>
      <c r="B19" s="1">
        <v>7.6E-3</v>
      </c>
      <c r="C19" s="1">
        <v>0.12429999999999999</v>
      </c>
      <c r="D19" s="1">
        <f>C19-C19*('TAX reduces gains by'!$Y$4)</f>
        <v>9.5672582253240282E-2</v>
      </c>
      <c r="E19" s="3">
        <v>2005</v>
      </c>
      <c r="F19" s="1">
        <v>0.12429999999999999</v>
      </c>
      <c r="I19">
        <v>15</v>
      </c>
    </row>
    <row r="20" spans="1:17" x14ac:dyDescent="0.25">
      <c r="A20">
        <v>2015</v>
      </c>
      <c r="B20" s="1">
        <v>7.3000000000000001E-3</v>
      </c>
      <c r="C20" s="1">
        <v>2.8999999999999998E-3</v>
      </c>
      <c r="D20" s="1">
        <f>C20-C20*('TAX reduces gains by'!$Y$4)</f>
        <v>2.2321036889332005E-3</v>
      </c>
      <c r="E20" s="3">
        <v>2011</v>
      </c>
      <c r="F20" s="1">
        <v>2.8999999999999998E-3</v>
      </c>
      <c r="I20">
        <v>16</v>
      </c>
    </row>
    <row r="21" spans="1:17" x14ac:dyDescent="0.25">
      <c r="A21">
        <v>2016</v>
      </c>
      <c r="B21" s="1">
        <v>2.07E-2</v>
      </c>
      <c r="C21" s="1">
        <v>0.12529999999999999</v>
      </c>
      <c r="D21" s="1">
        <f>C21-C21*('TAX reduces gains by'!$Y$4)</f>
        <v>9.6442273180458629E-2</v>
      </c>
      <c r="E21" s="3">
        <v>2263</v>
      </c>
      <c r="F21" s="1">
        <v>0.12529999999999999</v>
      </c>
      <c r="I21">
        <v>17</v>
      </c>
    </row>
    <row r="22" spans="1:17" x14ac:dyDescent="0.25">
      <c r="A22">
        <v>2017</v>
      </c>
      <c r="B22" s="1">
        <v>2.1100000000000001E-2</v>
      </c>
      <c r="C22" s="1">
        <v>0.21049999999999999</v>
      </c>
      <c r="D22" s="1">
        <f>C22-C22*('TAX reduces gains by'!$Y$4)</f>
        <v>0.16201994017946161</v>
      </c>
      <c r="E22" s="3">
        <v>2740</v>
      </c>
      <c r="F22" s="1">
        <v>0.21049999999999999</v>
      </c>
      <c r="I22">
        <v>18</v>
      </c>
    </row>
    <row r="23" spans="1:17" x14ac:dyDescent="0.25">
      <c r="A23">
        <v>2018</v>
      </c>
      <c r="B23" s="1">
        <v>1.9099999999999999E-2</v>
      </c>
      <c r="C23" s="1">
        <v>-5.2600000000000001E-2</v>
      </c>
      <c r="D23" s="108">
        <f t="shared" si="0"/>
        <v>-5.2600000000000001E-2</v>
      </c>
      <c r="E23" s="3">
        <v>2596</v>
      </c>
      <c r="F23" s="1">
        <v>-5.2600000000000001E-2</v>
      </c>
      <c r="I23">
        <v>19</v>
      </c>
    </row>
    <row r="24" spans="1:17" x14ac:dyDescent="0.25">
      <c r="A24">
        <v>2019</v>
      </c>
      <c r="B24" s="1">
        <v>2.29E-2</v>
      </c>
      <c r="C24" s="1">
        <v>0.30649999999999999</v>
      </c>
      <c r="D24" s="1">
        <f>C24-C24*('TAX reduces gains by'!$Y$4)</f>
        <v>0.23591026919242275</v>
      </c>
      <c r="E24" s="3">
        <v>3391</v>
      </c>
      <c r="F24" s="1">
        <v>0.30649999999999999</v>
      </c>
      <c r="I24">
        <v>20</v>
      </c>
    </row>
    <row r="27" spans="1:17" x14ac:dyDescent="0.25">
      <c r="A27" t="s">
        <v>0</v>
      </c>
      <c r="B27" t="s">
        <v>18</v>
      </c>
      <c r="C27" t="s">
        <v>2</v>
      </c>
      <c r="E27" t="s">
        <v>3</v>
      </c>
      <c r="F27" t="s">
        <v>19</v>
      </c>
      <c r="K27" t="s">
        <v>140</v>
      </c>
    </row>
    <row r="28" spans="1:17" x14ac:dyDescent="0.25">
      <c r="A28" t="s">
        <v>20</v>
      </c>
      <c r="G28" t="s">
        <v>141</v>
      </c>
      <c r="H28">
        <v>200000</v>
      </c>
      <c r="K28" s="125">
        <f>'TAX reduces gains by'!Y4</f>
        <v>0.23030907278165499</v>
      </c>
      <c r="L28" s="121" t="s">
        <v>150</v>
      </c>
      <c r="Q28" s="40" t="s">
        <v>144</v>
      </c>
    </row>
    <row r="29" spans="1:17" x14ac:dyDescent="0.25">
      <c r="G29" t="s">
        <v>142</v>
      </c>
      <c r="H29">
        <v>3333</v>
      </c>
      <c r="L29" t="s">
        <v>143</v>
      </c>
      <c r="P29">
        <v>3333</v>
      </c>
      <c r="Q29" s="1">
        <v>4.0000000000000002E-4</v>
      </c>
    </row>
    <row r="30" spans="1:17" x14ac:dyDescent="0.25">
      <c r="A30">
        <v>2008</v>
      </c>
      <c r="B30">
        <v>1</v>
      </c>
      <c r="C30" s="108">
        <v>-6.08E-2</v>
      </c>
      <c r="D30" s="1"/>
      <c r="E30" s="72">
        <v>184506</v>
      </c>
      <c r="F30" s="1">
        <v>-6.08E-2</v>
      </c>
      <c r="H30">
        <f>(H28-$H$29)</f>
        <v>196667</v>
      </c>
      <c r="I30" s="6">
        <f>H30+(H30*C30)</f>
        <v>184709.6464</v>
      </c>
      <c r="K30" s="110"/>
      <c r="L30" s="6">
        <f>I30</f>
        <v>184709.6464</v>
      </c>
      <c r="M30" s="6">
        <f>E30</f>
        <v>184506</v>
      </c>
      <c r="N30" s="112">
        <f>1-M30/L30</f>
        <v>1.1025217359735828E-3</v>
      </c>
      <c r="P30" s="111">
        <f>P29*Q29</f>
        <v>1.3332000000000002</v>
      </c>
    </row>
    <row r="31" spans="1:17" x14ac:dyDescent="0.25">
      <c r="A31">
        <v>2008</v>
      </c>
      <c r="B31">
        <v>2</v>
      </c>
      <c r="C31" s="108">
        <v>-3.04E-2</v>
      </c>
      <c r="D31" s="1"/>
      <c r="E31" s="3">
        <v>175562</v>
      </c>
      <c r="F31" s="1">
        <v>-3.04E-2</v>
      </c>
      <c r="H31" s="6">
        <f>I30-$H$29</f>
        <v>181376.6464</v>
      </c>
      <c r="I31" s="6">
        <f>H31+(H31*C31)</f>
        <v>175862.79634944</v>
      </c>
    </row>
    <row r="32" spans="1:17" x14ac:dyDescent="0.25">
      <c r="A32">
        <v>2008</v>
      </c>
      <c r="B32">
        <v>3</v>
      </c>
      <c r="C32" s="108">
        <v>-5.8999999999999999E-3</v>
      </c>
      <c r="D32" s="1"/>
      <c r="E32" s="3">
        <v>171189</v>
      </c>
      <c r="F32" s="1">
        <v>-5.8999999999999999E-3</v>
      </c>
      <c r="H32" s="6">
        <f t="shared" ref="H32:H78" si="1">I31-$H$29</f>
        <v>172529.79634944</v>
      </c>
      <c r="I32" s="6">
        <f t="shared" ref="I32:I78" si="2">H32+(H32*C32)</f>
        <v>171511.87055097832</v>
      </c>
    </row>
    <row r="33" spans="1:11" x14ac:dyDescent="0.25">
      <c r="A33">
        <v>2008</v>
      </c>
      <c r="B33">
        <v>4</v>
      </c>
      <c r="C33" s="1">
        <v>5.0200000000000002E-2</v>
      </c>
      <c r="D33" s="1"/>
      <c r="E33" s="3">
        <v>176453</v>
      </c>
      <c r="F33" s="1">
        <v>5.0200000000000002E-2</v>
      </c>
      <c r="H33" s="6">
        <f t="shared" si="1"/>
        <v>168178.87055097832</v>
      </c>
      <c r="I33" s="6">
        <f>H33+(H33*(C33-C33*$K$28))</f>
        <v>174677.04724178673</v>
      </c>
      <c r="K33" s="6" t="s">
        <v>36</v>
      </c>
    </row>
    <row r="34" spans="1:11" x14ac:dyDescent="0.25">
      <c r="A34">
        <v>2008</v>
      </c>
      <c r="B34">
        <v>5</v>
      </c>
      <c r="C34" s="1">
        <v>2.12E-2</v>
      </c>
      <c r="D34" s="1"/>
      <c r="E34" s="3">
        <v>176865</v>
      </c>
      <c r="F34" s="1">
        <v>2.12E-2</v>
      </c>
      <c r="H34" s="6">
        <f t="shared" si="1"/>
        <v>171344.04724178673</v>
      </c>
      <c r="I34" s="6">
        <f>H34+(H34*(C34-C34*$K$28))</f>
        <v>174139.94476399806</v>
      </c>
    </row>
    <row r="35" spans="1:11" x14ac:dyDescent="0.25">
      <c r="A35">
        <v>2008</v>
      </c>
      <c r="B35">
        <v>6</v>
      </c>
      <c r="C35" s="108">
        <v>-8.2000000000000003E-2</v>
      </c>
      <c r="D35" s="1"/>
      <c r="E35" s="3">
        <v>159030</v>
      </c>
      <c r="F35" s="1">
        <v>-8.2000000000000003E-2</v>
      </c>
      <c r="H35" s="6">
        <f t="shared" si="1"/>
        <v>170806.94476399806</v>
      </c>
      <c r="I35" s="6">
        <f t="shared" si="2"/>
        <v>156800.77529335022</v>
      </c>
    </row>
    <row r="36" spans="1:11" x14ac:dyDescent="0.25">
      <c r="A36">
        <v>2008</v>
      </c>
      <c r="B36">
        <v>7</v>
      </c>
      <c r="C36" s="108">
        <v>-7.7000000000000002E-3</v>
      </c>
      <c r="D36" s="1"/>
      <c r="E36" s="3">
        <v>154475</v>
      </c>
      <c r="F36" s="1">
        <v>-7.7000000000000002E-3</v>
      </c>
      <c r="H36" s="6">
        <f t="shared" si="1"/>
        <v>153467.77529335022</v>
      </c>
      <c r="I36" s="6">
        <f t="shared" si="2"/>
        <v>152286.07342359141</v>
      </c>
    </row>
    <row r="37" spans="1:11" x14ac:dyDescent="0.25">
      <c r="A37">
        <v>2008</v>
      </c>
      <c r="B37">
        <v>8</v>
      </c>
      <c r="C37" s="1">
        <v>1.61E-2</v>
      </c>
      <c r="D37" s="1"/>
      <c r="E37" s="3">
        <v>153635</v>
      </c>
      <c r="F37" s="1">
        <v>1.61E-2</v>
      </c>
      <c r="H37" s="6">
        <f t="shared" si="1"/>
        <v>148953.07342359141</v>
      </c>
      <c r="I37" s="6">
        <f>H37+(H37*(C37-C37*$K$28))</f>
        <v>150798.90347363777</v>
      </c>
    </row>
    <row r="38" spans="1:11" x14ac:dyDescent="0.25">
      <c r="A38">
        <v>2008</v>
      </c>
      <c r="B38">
        <v>9</v>
      </c>
      <c r="C38" s="108">
        <v>-9.2799999999999994E-2</v>
      </c>
      <c r="D38" s="1"/>
      <c r="E38" s="3">
        <v>136049</v>
      </c>
      <c r="F38" s="1">
        <v>-9.2799999999999994E-2</v>
      </c>
      <c r="H38" s="6">
        <f t="shared" si="1"/>
        <v>147465.90347363777</v>
      </c>
      <c r="I38" s="6">
        <f t="shared" si="2"/>
        <v>133781.06763128418</v>
      </c>
    </row>
    <row r="39" spans="1:11" x14ac:dyDescent="0.25">
      <c r="A39">
        <v>2008</v>
      </c>
      <c r="B39">
        <v>10</v>
      </c>
      <c r="C39" s="108">
        <v>-0.17630000000000001</v>
      </c>
      <c r="D39" s="1"/>
      <c r="E39" s="3">
        <v>108733</v>
      </c>
      <c r="F39" s="1">
        <v>-0.17630000000000001</v>
      </c>
      <c r="H39" s="6">
        <f t="shared" si="1"/>
        <v>130448.06763128418</v>
      </c>
      <c r="I39" s="6">
        <f t="shared" si="2"/>
        <v>107450.07330788879</v>
      </c>
    </row>
    <row r="40" spans="1:11" x14ac:dyDescent="0.25">
      <c r="A40">
        <v>2008</v>
      </c>
      <c r="B40">
        <v>11</v>
      </c>
      <c r="C40" s="108">
        <v>-7.8600000000000003E-2</v>
      </c>
      <c r="D40" s="1"/>
      <c r="E40" s="3">
        <v>96854</v>
      </c>
      <c r="F40" s="1">
        <v>-7.8600000000000003E-2</v>
      </c>
      <c r="H40" s="6">
        <f t="shared" si="1"/>
        <v>104117.07330788879</v>
      </c>
      <c r="I40" s="6">
        <f t="shared" si="2"/>
        <v>95933.471345888727</v>
      </c>
    </row>
    <row r="41" spans="1:11" x14ac:dyDescent="0.25">
      <c r="A41">
        <v>2008</v>
      </c>
      <c r="B41">
        <v>12</v>
      </c>
      <c r="C41" s="1">
        <v>1.83E-2</v>
      </c>
      <c r="D41" s="1"/>
      <c r="E41" s="3">
        <v>95291</v>
      </c>
      <c r="F41" s="1">
        <v>1.83E-2</v>
      </c>
      <c r="H41" s="6">
        <f t="shared" si="1"/>
        <v>92600.471345888727</v>
      </c>
      <c r="I41" s="6">
        <f>H41+(H41*(C41-C41*$K$28))</f>
        <v>93904.780836403355</v>
      </c>
    </row>
    <row r="42" spans="1:11" x14ac:dyDescent="0.25">
      <c r="A42">
        <v>2009</v>
      </c>
      <c r="B42">
        <v>1</v>
      </c>
      <c r="C42" s="108">
        <v>-8.2600000000000007E-2</v>
      </c>
      <c r="D42" s="1"/>
      <c r="E42" s="3">
        <v>84090</v>
      </c>
      <c r="F42" s="1">
        <v>-8.2600000000000007E-2</v>
      </c>
      <c r="H42" s="6">
        <f t="shared" si="1"/>
        <v>90571.780836403355</v>
      </c>
      <c r="I42" s="6">
        <f t="shared" si="2"/>
        <v>83090.551739316434</v>
      </c>
    </row>
    <row r="43" spans="1:11" x14ac:dyDescent="0.25">
      <c r="A43">
        <v>2009</v>
      </c>
      <c r="B43">
        <v>2</v>
      </c>
      <c r="C43" s="108">
        <v>-0.1045</v>
      </c>
      <c r="D43" s="1"/>
      <c r="E43" s="3">
        <v>71969</v>
      </c>
      <c r="F43" s="1">
        <v>-0.1045</v>
      </c>
      <c r="H43" s="6">
        <f t="shared" si="1"/>
        <v>79757.551739316434</v>
      </c>
      <c r="I43" s="6">
        <f t="shared" si="2"/>
        <v>71422.887582557873</v>
      </c>
    </row>
    <row r="44" spans="1:11" x14ac:dyDescent="0.25">
      <c r="A44">
        <v>2009</v>
      </c>
      <c r="B44">
        <v>3</v>
      </c>
      <c r="C44" s="1">
        <v>8.7300000000000003E-2</v>
      </c>
      <c r="D44" s="1"/>
      <c r="E44" s="3">
        <v>74921</v>
      </c>
      <c r="F44" s="1">
        <v>8.7300000000000003E-2</v>
      </c>
      <c r="H44" s="6">
        <f t="shared" si="1"/>
        <v>68089.887582557873</v>
      </c>
      <c r="I44" s="6">
        <f>H44+(H44*(C44-C44*$K$28))</f>
        <v>72665.120710732386</v>
      </c>
    </row>
    <row r="45" spans="1:11" x14ac:dyDescent="0.25">
      <c r="A45">
        <v>2009</v>
      </c>
      <c r="B45">
        <v>4</v>
      </c>
      <c r="C45" s="1">
        <v>0.106</v>
      </c>
      <c r="D45" s="1"/>
      <c r="E45" s="3">
        <v>79530</v>
      </c>
      <c r="F45" s="1">
        <v>0.106</v>
      </c>
      <c r="H45" s="6">
        <f t="shared" si="1"/>
        <v>69332.120710732386</v>
      </c>
      <c r="I45" s="6">
        <f t="shared" ref="I45:I57" si="3">H45+(H45*(C45-C45*$K$28))</f>
        <v>74988.736963973322</v>
      </c>
    </row>
    <row r="46" spans="1:11" x14ac:dyDescent="0.25">
      <c r="A46">
        <v>2009</v>
      </c>
      <c r="B46">
        <v>5</v>
      </c>
      <c r="C46" s="1">
        <v>5.33E-2</v>
      </c>
      <c r="D46" s="1"/>
      <c r="E46" s="3">
        <v>80435</v>
      </c>
      <c r="F46" s="1">
        <v>5.33E-2</v>
      </c>
      <c r="H46" s="6">
        <f t="shared" si="1"/>
        <v>71655.736963973322</v>
      </c>
      <c r="I46" s="6">
        <f t="shared" si="3"/>
        <v>74595.379638249287</v>
      </c>
    </row>
    <row r="47" spans="1:11" x14ac:dyDescent="0.25">
      <c r="A47">
        <v>2009</v>
      </c>
      <c r="B47">
        <v>6</v>
      </c>
      <c r="C47" s="1">
        <v>3.7000000000000002E-3</v>
      </c>
      <c r="D47" s="1"/>
      <c r="E47" s="3">
        <v>77396</v>
      </c>
      <c r="F47" s="1">
        <v>3.7000000000000002E-3</v>
      </c>
      <c r="H47" s="6">
        <f t="shared" si="1"/>
        <v>71262.379638249287</v>
      </c>
      <c r="I47" s="6">
        <f t="shared" si="3"/>
        <v>71465.324664369618</v>
      </c>
    </row>
    <row r="48" spans="1:11" x14ac:dyDescent="0.25">
      <c r="A48">
        <v>2009</v>
      </c>
      <c r="B48">
        <v>7</v>
      </c>
      <c r="C48" s="1">
        <v>7.8700000000000006E-2</v>
      </c>
      <c r="D48" s="1"/>
      <c r="E48" s="3">
        <v>80152</v>
      </c>
      <c r="F48" s="1">
        <v>7.8700000000000006E-2</v>
      </c>
      <c r="H48" s="6">
        <f t="shared" si="1"/>
        <v>68132.324664369618</v>
      </c>
      <c r="I48" s="6">
        <f t="shared" si="3"/>
        <v>72259.418154138621</v>
      </c>
    </row>
    <row r="49" spans="1:9" x14ac:dyDescent="0.25">
      <c r="A49">
        <v>2009</v>
      </c>
      <c r="B49">
        <v>8</v>
      </c>
      <c r="C49" s="1">
        <v>3.6299999999999999E-2</v>
      </c>
      <c r="D49" s="1"/>
      <c r="E49" s="3">
        <v>79725</v>
      </c>
      <c r="F49" s="1">
        <v>3.6299999999999999E-2</v>
      </c>
      <c r="H49" s="6">
        <f t="shared" si="1"/>
        <v>68926.418154138621</v>
      </c>
      <c r="I49" s="6">
        <f t="shared" si="3"/>
        <v>70852.207158908626</v>
      </c>
    </row>
    <row r="50" spans="1:9" x14ac:dyDescent="0.25">
      <c r="A50">
        <v>2009</v>
      </c>
      <c r="B50">
        <v>9</v>
      </c>
      <c r="C50" s="1">
        <v>4.2500000000000003E-2</v>
      </c>
      <c r="D50" s="1"/>
      <c r="E50" s="3">
        <v>79783</v>
      </c>
      <c r="F50" s="1">
        <v>4.2500000000000003E-2</v>
      </c>
      <c r="H50" s="6">
        <f t="shared" si="1"/>
        <v>67519.207158908626</v>
      </c>
      <c r="I50" s="6">
        <f t="shared" si="3"/>
        <v>69727.88630834411</v>
      </c>
    </row>
    <row r="51" spans="1:9" x14ac:dyDescent="0.25">
      <c r="A51">
        <v>2009</v>
      </c>
      <c r="B51">
        <v>10</v>
      </c>
      <c r="C51" s="108">
        <v>-2.6100000000000002E-2</v>
      </c>
      <c r="D51" s="1"/>
      <c r="E51" s="3">
        <v>74371</v>
      </c>
      <c r="F51" s="1">
        <v>-2.6100000000000002E-2</v>
      </c>
      <c r="H51" s="6">
        <f t="shared" si="1"/>
        <v>66394.88630834411</v>
      </c>
      <c r="I51" s="6">
        <f t="shared" si="2"/>
        <v>64661.979775696331</v>
      </c>
    </row>
    <row r="52" spans="1:9" x14ac:dyDescent="0.25">
      <c r="A52">
        <v>2009</v>
      </c>
      <c r="B52">
        <v>11</v>
      </c>
      <c r="C52" s="1">
        <v>5.6599999999999998E-2</v>
      </c>
      <c r="D52" s="1"/>
      <c r="E52" s="3">
        <v>75251</v>
      </c>
      <c r="F52" s="1">
        <v>5.6599999999999998E-2</v>
      </c>
      <c r="H52" s="6">
        <f t="shared" si="1"/>
        <v>61328.979775696331</v>
      </c>
      <c r="I52" s="6">
        <f t="shared" si="3"/>
        <v>64000.746512580685</v>
      </c>
    </row>
    <row r="53" spans="1:9" x14ac:dyDescent="0.25">
      <c r="A53">
        <v>2009</v>
      </c>
      <c r="B53">
        <v>12</v>
      </c>
      <c r="C53" s="1">
        <v>2.8500000000000001E-2</v>
      </c>
      <c r="D53" s="1"/>
      <c r="E53" s="3">
        <v>74063</v>
      </c>
      <c r="F53" s="1">
        <v>2.8500000000000001E-2</v>
      </c>
      <c r="H53" s="6">
        <f t="shared" si="1"/>
        <v>60667.746512580685</v>
      </c>
      <c r="I53" s="6">
        <f t="shared" si="3"/>
        <v>61998.565813447887</v>
      </c>
    </row>
    <row r="54" spans="1:9" x14ac:dyDescent="0.25">
      <c r="A54">
        <v>2010</v>
      </c>
      <c r="B54">
        <v>1</v>
      </c>
      <c r="C54" s="108">
        <v>-3.4599999999999999E-2</v>
      </c>
      <c r="D54" s="1"/>
      <c r="E54" s="3">
        <v>68166</v>
      </c>
      <c r="F54" s="1">
        <v>-3.4599999999999999E-2</v>
      </c>
      <c r="H54" s="6">
        <f t="shared" si="1"/>
        <v>58665.565813447887</v>
      </c>
      <c r="I54" s="6">
        <f t="shared" si="2"/>
        <v>56635.737236302593</v>
      </c>
    </row>
    <row r="55" spans="1:9" x14ac:dyDescent="0.25">
      <c r="A55">
        <v>2010</v>
      </c>
      <c r="B55">
        <v>2</v>
      </c>
      <c r="C55" s="1">
        <v>3.3599999999999998E-2</v>
      </c>
      <c r="D55" s="1"/>
      <c r="E55" s="3">
        <v>67123</v>
      </c>
      <c r="F55" s="1">
        <v>3.3599999999999998E-2</v>
      </c>
      <c r="H55" s="6">
        <f t="shared" si="1"/>
        <v>53302.737236302593</v>
      </c>
      <c r="I55" s="6">
        <f t="shared" si="3"/>
        <v>54681.232113391226</v>
      </c>
    </row>
    <row r="56" spans="1:9" x14ac:dyDescent="0.25">
      <c r="A56">
        <v>2010</v>
      </c>
      <c r="B56">
        <v>3</v>
      </c>
      <c r="C56" s="1">
        <v>6.2600000000000003E-2</v>
      </c>
      <c r="D56" s="1"/>
      <c r="E56" s="3">
        <v>67993</v>
      </c>
      <c r="F56" s="1">
        <v>6.2600000000000003E-2</v>
      </c>
      <c r="H56" s="6">
        <f t="shared" si="1"/>
        <v>51348.232113391226</v>
      </c>
      <c r="I56" s="6">
        <f t="shared" si="3"/>
        <v>53822.326114378542</v>
      </c>
    </row>
    <row r="57" spans="1:9" x14ac:dyDescent="0.25">
      <c r="A57">
        <v>2010</v>
      </c>
      <c r="B57">
        <v>4</v>
      </c>
      <c r="C57" s="1">
        <v>2.2100000000000002E-2</v>
      </c>
      <c r="D57" s="1"/>
      <c r="E57" s="3">
        <v>66161</v>
      </c>
      <c r="F57" s="1">
        <v>2.2100000000000002E-2</v>
      </c>
      <c r="H57" s="6">
        <f t="shared" si="1"/>
        <v>50489.326114378542</v>
      </c>
      <c r="I57" s="6">
        <f t="shared" si="3"/>
        <v>51348.158109097021</v>
      </c>
    </row>
    <row r="58" spans="1:9" x14ac:dyDescent="0.25">
      <c r="A58">
        <v>2010</v>
      </c>
      <c r="B58">
        <v>5</v>
      </c>
      <c r="C58" s="108">
        <v>-0.08</v>
      </c>
      <c r="D58" s="1"/>
      <c r="E58" s="3">
        <v>57536</v>
      </c>
      <c r="F58" s="1">
        <v>-0.08</v>
      </c>
      <c r="H58" s="6">
        <f t="shared" si="1"/>
        <v>48015.158109097021</v>
      </c>
      <c r="I58" s="6">
        <f t="shared" si="2"/>
        <v>44173.945460369257</v>
      </c>
    </row>
    <row r="59" spans="1:9" x14ac:dyDescent="0.25">
      <c r="A59">
        <v>2010</v>
      </c>
      <c r="B59">
        <v>6</v>
      </c>
      <c r="C59" s="108">
        <v>-5.67E-2</v>
      </c>
      <c r="D59" s="1"/>
      <c r="E59" s="3">
        <v>50939</v>
      </c>
      <c r="F59" s="1">
        <v>-5.67E-2</v>
      </c>
      <c r="H59" s="6">
        <f t="shared" si="1"/>
        <v>40840.945460369257</v>
      </c>
      <c r="I59" s="6">
        <f t="shared" si="2"/>
        <v>38525.263852766322</v>
      </c>
    </row>
    <row r="60" spans="1:9" x14ac:dyDescent="0.25">
      <c r="A60">
        <v>2010</v>
      </c>
      <c r="B60">
        <v>7</v>
      </c>
      <c r="C60" s="1">
        <v>7.0300000000000001E-2</v>
      </c>
      <c r="D60" s="1"/>
      <c r="E60" s="3">
        <v>51189</v>
      </c>
      <c r="F60" s="1">
        <v>7.0300000000000001E-2</v>
      </c>
      <c r="H60" s="6">
        <f t="shared" si="1"/>
        <v>35192.263852766322</v>
      </c>
      <c r="I60" s="6">
        <f t="shared" ref="I60" si="4">H60+(H60*(C60-C60*$K$28))</f>
        <v>37096.491636327431</v>
      </c>
    </row>
    <row r="61" spans="1:9" x14ac:dyDescent="0.25">
      <c r="A61">
        <v>2010</v>
      </c>
      <c r="B61">
        <v>8</v>
      </c>
      <c r="C61" s="108">
        <v>-4.7500000000000001E-2</v>
      </c>
      <c r="D61" s="1"/>
      <c r="E61" s="3">
        <v>45427</v>
      </c>
      <c r="F61" s="1">
        <v>-4.7500000000000001E-2</v>
      </c>
      <c r="H61" s="6">
        <f t="shared" si="1"/>
        <v>33763.491636327431</v>
      </c>
      <c r="I61" s="6">
        <f t="shared" si="2"/>
        <v>32159.72578360188</v>
      </c>
    </row>
    <row r="62" spans="1:9" x14ac:dyDescent="0.25">
      <c r="A62">
        <v>2010</v>
      </c>
      <c r="B62">
        <v>9</v>
      </c>
      <c r="C62" s="1">
        <v>9.5000000000000001E-2</v>
      </c>
      <c r="D62" s="1"/>
      <c r="E62" s="3">
        <v>46408</v>
      </c>
      <c r="F62" s="1">
        <v>9.5000000000000001E-2</v>
      </c>
      <c r="H62" s="6">
        <f t="shared" si="1"/>
        <v>28826.72578360188</v>
      </c>
      <c r="I62" s="6">
        <f t="shared" ref="I62:I69" si="5">H62+(H62*(C62-C62*$K$28))</f>
        <v>30934.554366821583</v>
      </c>
    </row>
    <row r="63" spans="1:9" x14ac:dyDescent="0.25">
      <c r="A63">
        <v>2010</v>
      </c>
      <c r="B63">
        <v>10</v>
      </c>
      <c r="C63" s="1">
        <v>3.9399999999999998E-2</v>
      </c>
      <c r="D63" s="1"/>
      <c r="E63" s="3">
        <v>44904</v>
      </c>
      <c r="F63" s="1">
        <v>3.9399999999999998E-2</v>
      </c>
      <c r="H63" s="6">
        <f t="shared" si="1"/>
        <v>27601.554366821583</v>
      </c>
      <c r="I63" s="6">
        <f t="shared" si="5"/>
        <v>28438.594206168284</v>
      </c>
    </row>
    <row r="64" spans="1:9" x14ac:dyDescent="0.25">
      <c r="A64">
        <v>2010</v>
      </c>
      <c r="B64">
        <v>11</v>
      </c>
      <c r="C64" s="1">
        <v>5.7999999999999996E-3</v>
      </c>
      <c r="D64" s="1"/>
      <c r="E64" s="3">
        <v>41829</v>
      </c>
      <c r="F64" s="1">
        <v>5.7999999999999996E-3</v>
      </c>
      <c r="H64" s="6">
        <f t="shared" si="1"/>
        <v>25105.594206168284</v>
      </c>
      <c r="I64" s="6">
        <f t="shared" si="5"/>
        <v>25217.67078504918</v>
      </c>
    </row>
    <row r="65" spans="1:9" x14ac:dyDescent="0.25">
      <c r="A65">
        <v>2010</v>
      </c>
      <c r="B65">
        <v>12</v>
      </c>
      <c r="C65" s="1">
        <v>6.83E-2</v>
      </c>
      <c r="D65" s="1"/>
      <c r="E65" s="3">
        <v>41354</v>
      </c>
      <c r="F65" s="1">
        <v>6.83E-2</v>
      </c>
      <c r="H65" s="6">
        <f t="shared" si="1"/>
        <v>21884.67078504918</v>
      </c>
      <c r="I65" s="6">
        <f t="shared" si="5"/>
        <v>23035.145528105772</v>
      </c>
    </row>
    <row r="66" spans="1:9" x14ac:dyDescent="0.25">
      <c r="A66">
        <v>2011</v>
      </c>
      <c r="B66">
        <v>1</v>
      </c>
      <c r="C66" s="1">
        <v>2.1899999999999999E-2</v>
      </c>
      <c r="D66" s="1"/>
      <c r="E66" s="3">
        <v>38925</v>
      </c>
      <c r="F66" s="1">
        <v>2.1899999999999999E-2</v>
      </c>
      <c r="H66" s="6">
        <f t="shared" si="1"/>
        <v>19702.145528105772</v>
      </c>
      <c r="I66" s="6">
        <f t="shared" si="5"/>
        <v>20034.249450353607</v>
      </c>
    </row>
    <row r="67" spans="1:9" x14ac:dyDescent="0.25">
      <c r="A67">
        <v>2011</v>
      </c>
      <c r="B67">
        <v>2</v>
      </c>
      <c r="C67" s="1">
        <v>3.6299999999999999E-2</v>
      </c>
      <c r="D67" s="1"/>
      <c r="E67" s="3">
        <v>37004</v>
      </c>
      <c r="F67" s="1">
        <v>3.6299999999999999E-2</v>
      </c>
      <c r="H67" s="6">
        <f t="shared" si="1"/>
        <v>16701.249450353607</v>
      </c>
      <c r="I67" s="6">
        <f t="shared" si="5"/>
        <v>17167.878696711465</v>
      </c>
    </row>
    <row r="68" spans="1:9" x14ac:dyDescent="0.25">
      <c r="A68">
        <v>2011</v>
      </c>
      <c r="B68">
        <v>3</v>
      </c>
      <c r="C68" s="1">
        <v>4.4999999999999997E-3</v>
      </c>
      <c r="D68" s="1"/>
      <c r="E68" s="3">
        <v>33836</v>
      </c>
      <c r="F68" s="1">
        <v>4.4999999999999997E-3</v>
      </c>
      <c r="H68" s="6">
        <f t="shared" si="1"/>
        <v>13834.878696711465</v>
      </c>
      <c r="I68" s="6">
        <f t="shared" si="5"/>
        <v>13882.797309465577</v>
      </c>
    </row>
    <row r="69" spans="1:9" x14ac:dyDescent="0.25">
      <c r="A69">
        <v>2011</v>
      </c>
      <c r="B69">
        <v>4</v>
      </c>
      <c r="C69" s="1">
        <v>2.9899999999999999E-2</v>
      </c>
      <c r="D69" s="1"/>
      <c r="E69" s="3">
        <v>31515</v>
      </c>
      <c r="F69" s="1">
        <v>2.9899999999999999E-2</v>
      </c>
      <c r="H69" s="6">
        <f t="shared" si="1"/>
        <v>10549.797309465577</v>
      </c>
      <c r="I69" s="6">
        <f t="shared" si="5"/>
        <v>10792.587799330913</v>
      </c>
    </row>
    <row r="70" spans="1:9" x14ac:dyDescent="0.25">
      <c r="A70">
        <v>2011</v>
      </c>
      <c r="B70">
        <v>5</v>
      </c>
      <c r="C70" s="108">
        <v>-1.1599999999999999E-2</v>
      </c>
      <c r="D70" s="1"/>
      <c r="E70" s="3">
        <v>27816</v>
      </c>
      <c r="F70" s="1">
        <v>-1.1599999999999999E-2</v>
      </c>
      <c r="H70" s="6">
        <f t="shared" si="1"/>
        <v>7459.5877993309132</v>
      </c>
      <c r="I70" s="6">
        <f t="shared" si="2"/>
        <v>7373.0565808586744</v>
      </c>
    </row>
    <row r="71" spans="1:9" x14ac:dyDescent="0.25">
      <c r="A71">
        <v>2011</v>
      </c>
      <c r="B71">
        <v>6</v>
      </c>
      <c r="C71" s="108">
        <v>-1.7899999999999999E-2</v>
      </c>
      <c r="D71" s="1"/>
      <c r="E71" s="3">
        <v>23986</v>
      </c>
      <c r="F71" s="1">
        <v>-1.7899999999999999E-2</v>
      </c>
      <c r="H71" s="6">
        <f t="shared" si="1"/>
        <v>4040.0565808586744</v>
      </c>
      <c r="I71" s="6">
        <f t="shared" si="2"/>
        <v>3967.739568061304</v>
      </c>
    </row>
    <row r="72" spans="1:9" x14ac:dyDescent="0.25">
      <c r="A72">
        <v>2011</v>
      </c>
      <c r="B72">
        <v>7</v>
      </c>
      <c r="C72" s="108">
        <v>-2.2200000000000001E-2</v>
      </c>
      <c r="D72" s="1"/>
      <c r="E72" s="3">
        <v>20120</v>
      </c>
      <c r="F72" s="1">
        <v>-2.2200000000000001E-2</v>
      </c>
      <c r="H72" s="124">
        <f t="shared" si="1"/>
        <v>634.739568061304</v>
      </c>
      <c r="I72" s="124">
        <f t="shared" si="2"/>
        <v>620.64834965034299</v>
      </c>
    </row>
    <row r="73" spans="1:9" x14ac:dyDescent="0.25">
      <c r="A73">
        <v>2011</v>
      </c>
      <c r="B73">
        <v>8</v>
      </c>
      <c r="C73" s="108">
        <v>-6.0199999999999997E-2</v>
      </c>
      <c r="D73" s="1"/>
      <c r="E73" s="3">
        <v>15576</v>
      </c>
      <c r="F73" s="1">
        <v>-6.0199999999999997E-2</v>
      </c>
      <c r="H73" s="6">
        <f t="shared" si="1"/>
        <v>-2712.3516503496571</v>
      </c>
      <c r="I73" s="6">
        <f t="shared" si="2"/>
        <v>-2549.0680809986079</v>
      </c>
    </row>
    <row r="74" spans="1:9" x14ac:dyDescent="0.25">
      <c r="A74">
        <v>2011</v>
      </c>
      <c r="B74">
        <v>9</v>
      </c>
      <c r="C74" s="108">
        <v>-7.7499999999999999E-2</v>
      </c>
      <c r="D74" s="1"/>
      <c r="E74" s="3">
        <v>11035</v>
      </c>
      <c r="F74" s="1">
        <v>-7.7499999999999999E-2</v>
      </c>
      <c r="H74" s="6">
        <f t="shared" si="1"/>
        <v>-5882.0680809986079</v>
      </c>
      <c r="I74" s="6">
        <f t="shared" si="2"/>
        <v>-5426.2078047212162</v>
      </c>
    </row>
    <row r="75" spans="1:9" x14ac:dyDescent="0.25">
      <c r="A75">
        <v>2011</v>
      </c>
      <c r="B75">
        <v>10</v>
      </c>
      <c r="C75" s="1">
        <v>0.1154</v>
      </c>
      <c r="D75" s="1"/>
      <c r="E75" s="3">
        <v>8976</v>
      </c>
      <c r="F75" s="1">
        <v>0.1154</v>
      </c>
      <c r="H75" s="6">
        <f t="shared" si="1"/>
        <v>-8759.2078047212162</v>
      </c>
      <c r="I75" s="6">
        <f t="shared" ref="I75" si="6">H75+(H75*(C75-C75*$K$28))</f>
        <v>-9537.2210771770951</v>
      </c>
    </row>
    <row r="76" spans="1:9" x14ac:dyDescent="0.25">
      <c r="A76">
        <v>2011</v>
      </c>
      <c r="B76">
        <v>11</v>
      </c>
      <c r="C76" s="108">
        <v>-2.8999999999999998E-3</v>
      </c>
      <c r="D76" s="1"/>
      <c r="E76" s="3">
        <v>5617</v>
      </c>
      <c r="F76" s="1">
        <v>-2.8999999999999998E-3</v>
      </c>
      <c r="H76" s="6">
        <f t="shared" si="1"/>
        <v>-12870.221077177095</v>
      </c>
      <c r="I76" s="6">
        <f t="shared" si="2"/>
        <v>-12832.897436053281</v>
      </c>
    </row>
    <row r="77" spans="1:9" x14ac:dyDescent="0.25">
      <c r="A77" s="10">
        <v>2011</v>
      </c>
      <c r="B77" s="10">
        <v>12</v>
      </c>
      <c r="C77" s="11">
        <v>8.2000000000000007E-3</v>
      </c>
      <c r="D77" s="11"/>
      <c r="E77" s="14">
        <v>2331</v>
      </c>
      <c r="F77" s="11">
        <v>8.2000000000000007E-3</v>
      </c>
      <c r="H77" s="6">
        <f t="shared" si="1"/>
        <v>-16165.897436053281</v>
      </c>
      <c r="I77" s="6">
        <f t="shared" ref="I77:I78" si="7">H77+(H77*(C77-C77*$K$28))</f>
        <v>-16267.927941665635</v>
      </c>
    </row>
    <row r="78" spans="1:9" x14ac:dyDescent="0.25">
      <c r="A78" s="10">
        <v>2012</v>
      </c>
      <c r="B78" s="10">
        <v>1</v>
      </c>
      <c r="C78" s="11">
        <v>5.0799999999999998E-2</v>
      </c>
      <c r="D78" s="11"/>
      <c r="E78" s="12">
        <v>0</v>
      </c>
      <c r="F78" s="11">
        <v>5.0799999999999998E-2</v>
      </c>
      <c r="H78" s="6">
        <f t="shared" si="1"/>
        <v>-19600.927941665635</v>
      </c>
      <c r="I78" s="6">
        <f t="shared" si="7"/>
        <v>-20367.330086875074</v>
      </c>
    </row>
    <row r="79" spans="1:9" x14ac:dyDescent="0.25">
      <c r="A79" t="s">
        <v>21</v>
      </c>
    </row>
    <row r="82" spans="1:9" x14ac:dyDescent="0.25">
      <c r="A82" t="s">
        <v>0</v>
      </c>
      <c r="B82" t="s">
        <v>18</v>
      </c>
      <c r="C82" t="s">
        <v>2</v>
      </c>
      <c r="E82" t="s">
        <v>3</v>
      </c>
      <c r="F82" t="s">
        <v>19</v>
      </c>
    </row>
    <row r="83" spans="1:9" x14ac:dyDescent="0.25">
      <c r="A83" t="s">
        <v>20</v>
      </c>
      <c r="G83" t="s">
        <v>141</v>
      </c>
      <c r="H83">
        <v>200000</v>
      </c>
    </row>
    <row r="84" spans="1:9" x14ac:dyDescent="0.25">
      <c r="G84" t="s">
        <v>142</v>
      </c>
      <c r="H84">
        <v>3333</v>
      </c>
    </row>
    <row r="85" spans="1:9" x14ac:dyDescent="0.25">
      <c r="A85">
        <v>2015</v>
      </c>
      <c r="B85">
        <v>1</v>
      </c>
      <c r="C85" s="108">
        <v>-2.7699999999999999E-2</v>
      </c>
      <c r="D85" s="1"/>
      <c r="E85" s="3">
        <v>191124</v>
      </c>
      <c r="F85" s="1">
        <v>-2.7699999999999999E-2</v>
      </c>
      <c r="H85">
        <f>(H83-$H$84)</f>
        <v>196667</v>
      </c>
      <c r="I85" s="6">
        <f>H85+(H85*C85)</f>
        <v>191219.3241</v>
      </c>
    </row>
    <row r="86" spans="1:9" x14ac:dyDescent="0.25">
      <c r="A86">
        <v>2015</v>
      </c>
      <c r="B86">
        <v>2</v>
      </c>
      <c r="C86" s="1">
        <v>5.7599999999999998E-2</v>
      </c>
      <c r="D86" s="1"/>
      <c r="E86" s="3">
        <v>198801</v>
      </c>
      <c r="F86" s="1">
        <v>5.7599999999999998E-2</v>
      </c>
      <c r="H86" s="6">
        <f>I85-$H$29</f>
        <v>187886.3241</v>
      </c>
      <c r="I86" s="6">
        <f t="shared" ref="I86:I91" si="8">H86+(H86*(C86-C86*$K$28))</f>
        <v>196216.11348287092</v>
      </c>
    </row>
    <row r="87" spans="1:9" x14ac:dyDescent="0.25">
      <c r="A87">
        <v>2015</v>
      </c>
      <c r="B87">
        <v>3</v>
      </c>
      <c r="C87" s="108">
        <v>-1.01E-2</v>
      </c>
      <c r="D87" s="1"/>
      <c r="E87" s="3">
        <v>193462</v>
      </c>
      <c r="F87" s="1">
        <v>-1.01E-2</v>
      </c>
      <c r="H87" s="6">
        <f t="shared" ref="H87:H144" si="9">I86-$H$29</f>
        <v>192883.11348287092</v>
      </c>
      <c r="I87" s="6">
        <f t="shared" ref="I87:I140" si="10">H87+(H87*C87)</f>
        <v>190934.99403669391</v>
      </c>
    </row>
    <row r="88" spans="1:9" x14ac:dyDescent="0.25">
      <c r="A88">
        <v>2015</v>
      </c>
      <c r="B88">
        <v>4</v>
      </c>
      <c r="C88" s="1">
        <v>4.1999999999999997E-3</v>
      </c>
      <c r="D88" s="1"/>
      <c r="E88" s="3">
        <v>190943</v>
      </c>
      <c r="F88" s="1">
        <v>4.1999999999999997E-3</v>
      </c>
      <c r="H88" s="6">
        <f t="shared" si="9"/>
        <v>187601.99403669391</v>
      </c>
      <c r="I88" s="6">
        <f t="shared" si="8"/>
        <v>188208.45535819398</v>
      </c>
    </row>
    <row r="89" spans="1:9" x14ac:dyDescent="0.25">
      <c r="A89">
        <v>2015</v>
      </c>
      <c r="B89">
        <v>5</v>
      </c>
      <c r="C89" s="1">
        <v>1.3899999999999999E-2</v>
      </c>
      <c r="D89" s="1"/>
      <c r="E89" s="3">
        <v>190265</v>
      </c>
      <c r="F89" s="1">
        <v>1.3899999999999999E-2</v>
      </c>
      <c r="H89" s="6">
        <f t="shared" si="9"/>
        <v>184875.45535819398</v>
      </c>
      <c r="I89" s="6">
        <f t="shared" si="8"/>
        <v>186853.38311129241</v>
      </c>
    </row>
    <row r="90" spans="1:9" x14ac:dyDescent="0.25">
      <c r="A90">
        <v>2015</v>
      </c>
      <c r="B90">
        <v>6</v>
      </c>
      <c r="C90" s="108">
        <v>-1.7000000000000001E-2</v>
      </c>
      <c r="D90" s="1"/>
      <c r="E90" s="3">
        <v>183693</v>
      </c>
      <c r="F90" s="1">
        <v>-1.7000000000000001E-2</v>
      </c>
      <c r="H90" s="6">
        <f t="shared" si="9"/>
        <v>183520.38311129241</v>
      </c>
      <c r="I90" s="6">
        <f t="shared" si="10"/>
        <v>180400.53659840045</v>
      </c>
    </row>
    <row r="91" spans="1:9" x14ac:dyDescent="0.25">
      <c r="A91">
        <v>2015</v>
      </c>
      <c r="B91">
        <v>7</v>
      </c>
      <c r="C91" s="1">
        <v>1.6500000000000001E-2</v>
      </c>
      <c r="D91" s="1"/>
      <c r="E91" s="3">
        <v>183392</v>
      </c>
      <c r="F91" s="1">
        <v>1.6500000000000001E-2</v>
      </c>
      <c r="H91" s="6">
        <f t="shared" si="9"/>
        <v>177067.53659840045</v>
      </c>
      <c r="I91" s="6">
        <f t="shared" si="8"/>
        <v>179316.27665940786</v>
      </c>
    </row>
    <row r="92" spans="1:9" x14ac:dyDescent="0.25">
      <c r="A92">
        <v>2015</v>
      </c>
      <c r="B92">
        <v>8</v>
      </c>
      <c r="C92" s="108">
        <v>-0.06</v>
      </c>
      <c r="D92" s="1"/>
      <c r="E92" s="3">
        <v>169047</v>
      </c>
      <c r="F92" s="1">
        <v>-0.06</v>
      </c>
      <c r="H92" s="6">
        <f t="shared" si="9"/>
        <v>175983.27665940786</v>
      </c>
      <c r="I92" s="6">
        <f t="shared" si="10"/>
        <v>165424.28005984338</v>
      </c>
    </row>
    <row r="93" spans="1:9" x14ac:dyDescent="0.25">
      <c r="A93">
        <v>2015</v>
      </c>
      <c r="B93">
        <v>9</v>
      </c>
      <c r="C93" s="108">
        <v>-2.9399999999999999E-2</v>
      </c>
      <c r="D93" s="1"/>
      <c r="E93" s="3">
        <v>160738</v>
      </c>
      <c r="F93" s="1">
        <v>-2.9399999999999999E-2</v>
      </c>
      <c r="H93" s="6">
        <f t="shared" si="9"/>
        <v>162091.28005984338</v>
      </c>
      <c r="I93" s="6">
        <f t="shared" si="10"/>
        <v>157325.79642608398</v>
      </c>
    </row>
    <row r="94" spans="1:9" x14ac:dyDescent="0.25">
      <c r="A94">
        <v>2015</v>
      </c>
      <c r="B94">
        <v>10</v>
      </c>
      <c r="C94" s="1">
        <v>7.8600000000000003E-2</v>
      </c>
      <c r="D94" s="1"/>
      <c r="E94" s="3">
        <v>170044</v>
      </c>
      <c r="F94" s="1">
        <v>7.8600000000000003E-2</v>
      </c>
      <c r="H94" s="6">
        <f t="shared" si="9"/>
        <v>153992.79642608398</v>
      </c>
      <c r="I94" s="6">
        <f t="shared" ref="I94:I95" si="11">H94+(H94*(C94-C94*$K$28))</f>
        <v>163309.00748580246</v>
      </c>
    </row>
    <row r="95" spans="1:9" x14ac:dyDescent="0.25">
      <c r="A95">
        <v>2015</v>
      </c>
      <c r="B95">
        <v>11</v>
      </c>
      <c r="C95" s="1">
        <v>5.5999999999999999E-3</v>
      </c>
      <c r="D95" s="1"/>
      <c r="E95" s="3">
        <v>167662</v>
      </c>
      <c r="F95" s="1">
        <v>5.5999999999999999E-3</v>
      </c>
      <c r="H95" s="6">
        <f t="shared" si="9"/>
        <v>159976.00748580246</v>
      </c>
      <c r="I95" s="6">
        <f t="shared" si="11"/>
        <v>160665.54714239531</v>
      </c>
    </row>
    <row r="96" spans="1:9" x14ac:dyDescent="0.25">
      <c r="A96">
        <v>2015</v>
      </c>
      <c r="B96">
        <v>12</v>
      </c>
      <c r="C96" s="108">
        <v>-2.0400000000000001E-2</v>
      </c>
      <c r="D96" s="1"/>
      <c r="E96" s="3">
        <v>160916</v>
      </c>
      <c r="F96" s="1">
        <v>-2.0400000000000001E-2</v>
      </c>
      <c r="H96" s="6">
        <f t="shared" si="9"/>
        <v>157332.54714239531</v>
      </c>
      <c r="I96" s="6">
        <f t="shared" si="10"/>
        <v>154122.96318069045</v>
      </c>
    </row>
    <row r="97" spans="1:9" x14ac:dyDescent="0.25">
      <c r="A97">
        <v>2016</v>
      </c>
      <c r="B97">
        <v>1</v>
      </c>
      <c r="C97" s="108">
        <v>-5.6500000000000002E-2</v>
      </c>
      <c r="D97" s="1"/>
      <c r="E97" s="3">
        <v>148490</v>
      </c>
      <c r="F97" s="1">
        <v>-5.6500000000000002E-2</v>
      </c>
      <c r="H97" s="6">
        <f t="shared" si="9"/>
        <v>150789.96318069045</v>
      </c>
      <c r="I97" s="6">
        <f t="shared" si="10"/>
        <v>142270.33026098143</v>
      </c>
    </row>
    <row r="98" spans="1:9" x14ac:dyDescent="0.25">
      <c r="A98">
        <v>2016</v>
      </c>
      <c r="B98">
        <v>2</v>
      </c>
      <c r="C98" s="108">
        <v>-4.0000000000000002E-4</v>
      </c>
      <c r="D98" s="1"/>
      <c r="E98" s="3">
        <v>145095</v>
      </c>
      <c r="F98" s="1">
        <v>-4.0000000000000002E-4</v>
      </c>
      <c r="H98" s="6">
        <f t="shared" si="9"/>
        <v>138937.33026098143</v>
      </c>
      <c r="I98" s="6">
        <f t="shared" si="10"/>
        <v>138881.75532887704</v>
      </c>
    </row>
    <row r="99" spans="1:9" x14ac:dyDescent="0.25">
      <c r="A99">
        <v>2016</v>
      </c>
      <c r="B99">
        <v>3</v>
      </c>
      <c r="C99" s="1">
        <v>7.0300000000000001E-2</v>
      </c>
      <c r="D99" s="1"/>
      <c r="E99" s="3">
        <v>151967</v>
      </c>
      <c r="F99" s="1">
        <v>7.0300000000000001E-2</v>
      </c>
      <c r="H99" s="6">
        <f t="shared" si="9"/>
        <v>135548.75532887704</v>
      </c>
      <c r="I99" s="6">
        <f t="shared" ref="I99:I105" si="12">H99+(H99*(C99-C99*$K$28))</f>
        <v>142883.19982509507</v>
      </c>
    </row>
    <row r="100" spans="1:9" x14ac:dyDescent="0.25">
      <c r="A100">
        <v>2016</v>
      </c>
      <c r="B100">
        <v>4</v>
      </c>
      <c r="C100" s="1">
        <v>6.4999999999999997E-3</v>
      </c>
      <c r="D100" s="1"/>
      <c r="E100" s="3">
        <v>149617</v>
      </c>
      <c r="F100" s="1">
        <v>6.4999999999999997E-3</v>
      </c>
      <c r="H100" s="6">
        <f t="shared" si="9"/>
        <v>139550.19982509507</v>
      </c>
      <c r="I100" s="6">
        <f t="shared" si="12"/>
        <v>140248.36822262482</v>
      </c>
    </row>
    <row r="101" spans="1:9" x14ac:dyDescent="0.25">
      <c r="A101">
        <v>2016</v>
      </c>
      <c r="B101">
        <v>5</v>
      </c>
      <c r="C101" s="1">
        <v>1.77E-2</v>
      </c>
      <c r="D101" s="1"/>
      <c r="E101" s="3">
        <v>148935</v>
      </c>
      <c r="F101" s="1">
        <v>1.77E-2</v>
      </c>
      <c r="H101" s="6">
        <f t="shared" si="9"/>
        <v>136915.36822262482</v>
      </c>
      <c r="I101" s="6">
        <f t="shared" si="12"/>
        <v>138780.63876852836</v>
      </c>
    </row>
    <row r="102" spans="1:9" x14ac:dyDescent="0.25">
      <c r="A102">
        <v>2016</v>
      </c>
      <c r="B102">
        <v>6</v>
      </c>
      <c r="C102" s="1">
        <v>2.5000000000000001E-3</v>
      </c>
      <c r="D102" s="1"/>
      <c r="E102" s="3">
        <v>145973</v>
      </c>
      <c r="F102" s="1">
        <v>2.5000000000000001E-3</v>
      </c>
      <c r="H102" s="6">
        <f t="shared" si="9"/>
        <v>135447.63876852836</v>
      </c>
      <c r="I102" s="6">
        <f t="shared" si="12"/>
        <v>135708.27081521155</v>
      </c>
    </row>
    <row r="103" spans="1:9" x14ac:dyDescent="0.25">
      <c r="A103">
        <v>2016</v>
      </c>
      <c r="B103">
        <v>7</v>
      </c>
      <c r="C103" s="1">
        <v>3.95E-2</v>
      </c>
      <c r="D103" s="1"/>
      <c r="E103" s="3">
        <v>148404</v>
      </c>
      <c r="F103" s="1">
        <v>3.95E-2</v>
      </c>
      <c r="H103" s="6">
        <f t="shared" si="9"/>
        <v>132375.27081521155</v>
      </c>
      <c r="I103" s="6">
        <f t="shared" si="12"/>
        <v>136399.84859012588</v>
      </c>
    </row>
    <row r="104" spans="1:9" x14ac:dyDescent="0.25">
      <c r="A104">
        <v>2016</v>
      </c>
      <c r="B104">
        <v>8</v>
      </c>
      <c r="C104" s="1">
        <v>2.8E-3</v>
      </c>
      <c r="D104" s="1"/>
      <c r="E104" s="3">
        <v>145481</v>
      </c>
      <c r="F104" s="1">
        <v>2.8E-3</v>
      </c>
      <c r="H104" s="6">
        <f t="shared" si="9"/>
        <v>133066.84859012588</v>
      </c>
      <c r="I104" s="6">
        <f t="shared" si="12"/>
        <v>133353.62555913129</v>
      </c>
    </row>
    <row r="105" spans="1:9" x14ac:dyDescent="0.25">
      <c r="A105">
        <v>2016</v>
      </c>
      <c r="B105">
        <v>9</v>
      </c>
      <c r="C105" s="1">
        <v>1.5E-3</v>
      </c>
      <c r="D105" s="1"/>
      <c r="E105" s="3">
        <v>142372</v>
      </c>
      <c r="F105" s="1">
        <v>1.5E-3</v>
      </c>
      <c r="H105" s="6">
        <f t="shared" si="9"/>
        <v>130020.62555913129</v>
      </c>
      <c r="I105" s="6">
        <f t="shared" si="12"/>
        <v>130170.73910289747</v>
      </c>
    </row>
    <row r="106" spans="1:9" x14ac:dyDescent="0.25">
      <c r="A106">
        <v>2016</v>
      </c>
      <c r="B106">
        <v>10</v>
      </c>
      <c r="C106" s="108">
        <v>-2.2100000000000002E-2</v>
      </c>
      <c r="D106" s="1"/>
      <c r="E106" s="3">
        <v>135887</v>
      </c>
      <c r="F106" s="1">
        <v>-2.2100000000000002E-2</v>
      </c>
      <c r="H106" s="6">
        <f t="shared" si="9"/>
        <v>126837.73910289747</v>
      </c>
      <c r="I106" s="6">
        <f t="shared" si="10"/>
        <v>124034.62506872343</v>
      </c>
    </row>
    <row r="107" spans="1:9" x14ac:dyDescent="0.25">
      <c r="A107">
        <v>2016</v>
      </c>
      <c r="B107">
        <v>11</v>
      </c>
      <c r="C107" s="1">
        <v>4.4499999999999998E-2</v>
      </c>
      <c r="D107" s="1"/>
      <c r="E107" s="3">
        <v>138605</v>
      </c>
      <c r="F107" s="1">
        <v>4.4499999999999998E-2</v>
      </c>
      <c r="H107" s="6">
        <f t="shared" si="9"/>
        <v>120701.62506872343</v>
      </c>
      <c r="I107" s="6">
        <f t="shared" ref="I107:I121" si="13">H107+(H107*(C107-C107*$K$28))</f>
        <v>124835.80615308128</v>
      </c>
    </row>
    <row r="108" spans="1:9" x14ac:dyDescent="0.25">
      <c r="A108">
        <v>2016</v>
      </c>
      <c r="B108">
        <v>12</v>
      </c>
      <c r="C108" s="1">
        <v>1.9300000000000001E-2</v>
      </c>
      <c r="D108" s="1"/>
      <c r="E108" s="3">
        <v>137952</v>
      </c>
      <c r="F108" s="1">
        <v>1.9300000000000001E-2</v>
      </c>
      <c r="H108" s="6">
        <f t="shared" si="9"/>
        <v>121502.80615308128</v>
      </c>
      <c r="I108" s="6">
        <f t="shared" si="13"/>
        <v>123307.73457836389</v>
      </c>
    </row>
    <row r="109" spans="1:9" x14ac:dyDescent="0.25">
      <c r="A109">
        <v>2017</v>
      </c>
      <c r="B109">
        <v>1</v>
      </c>
      <c r="C109" s="1">
        <v>1.9300000000000001E-2</v>
      </c>
      <c r="D109" s="1"/>
      <c r="E109" s="3">
        <v>137276</v>
      </c>
      <c r="F109" s="1">
        <v>1.9300000000000001E-2</v>
      </c>
      <c r="H109" s="6">
        <f t="shared" si="9"/>
        <v>119974.73457836389</v>
      </c>
      <c r="I109" s="6">
        <f t="shared" si="13"/>
        <v>121756.96344708152</v>
      </c>
    </row>
    <row r="110" spans="1:9" x14ac:dyDescent="0.25">
      <c r="A110">
        <v>2017</v>
      </c>
      <c r="B110">
        <v>2</v>
      </c>
      <c r="C110" s="1">
        <v>3.7100000000000001E-2</v>
      </c>
      <c r="D110" s="1"/>
      <c r="E110" s="3">
        <v>139034</v>
      </c>
      <c r="F110" s="1">
        <v>3.7100000000000001E-2</v>
      </c>
      <c r="H110" s="6">
        <f t="shared" si="9"/>
        <v>118423.96344708152</v>
      </c>
      <c r="I110" s="6">
        <f t="shared" si="13"/>
        <v>121805.62289063142</v>
      </c>
    </row>
    <row r="111" spans="1:9" x14ac:dyDescent="0.25">
      <c r="A111">
        <v>2017</v>
      </c>
      <c r="B111">
        <v>3</v>
      </c>
      <c r="C111" s="1">
        <v>8.0000000000000004E-4</v>
      </c>
      <c r="D111" s="1"/>
      <c r="E111" s="3">
        <v>135811</v>
      </c>
      <c r="F111" s="1">
        <v>8.0000000000000004E-4</v>
      </c>
      <c r="H111" s="6">
        <f t="shared" si="9"/>
        <v>118472.62289063142</v>
      </c>
      <c r="I111" s="6">
        <f t="shared" si="13"/>
        <v>118545.57273300157</v>
      </c>
    </row>
    <row r="112" spans="1:9" x14ac:dyDescent="0.25">
      <c r="A112">
        <v>2017</v>
      </c>
      <c r="B112">
        <v>4</v>
      </c>
      <c r="C112" s="1">
        <v>1.0500000000000001E-2</v>
      </c>
      <c r="D112" s="1"/>
      <c r="E112" s="3">
        <v>133903</v>
      </c>
      <c r="F112" s="1">
        <v>1.0500000000000001E-2</v>
      </c>
      <c r="H112" s="6">
        <f t="shared" si="9"/>
        <v>115212.57273300157</v>
      </c>
      <c r="I112" s="6">
        <f t="shared" si="13"/>
        <v>116143.69248830936</v>
      </c>
    </row>
    <row r="113" spans="1:9" x14ac:dyDescent="0.25">
      <c r="A113">
        <v>2017</v>
      </c>
      <c r="B113">
        <v>5</v>
      </c>
      <c r="C113" s="1">
        <v>1.0200000000000001E-2</v>
      </c>
      <c r="D113" s="1"/>
      <c r="E113" s="3">
        <v>131939</v>
      </c>
      <c r="F113" s="1">
        <v>1.0200000000000001E-2</v>
      </c>
      <c r="H113" s="6">
        <f t="shared" si="9"/>
        <v>112810.69248830936</v>
      </c>
      <c r="I113" s="6">
        <f t="shared" si="13"/>
        <v>113696.35202662436</v>
      </c>
    </row>
    <row r="114" spans="1:9" x14ac:dyDescent="0.25">
      <c r="A114">
        <v>2017</v>
      </c>
      <c r="B114">
        <v>6</v>
      </c>
      <c r="C114" s="1">
        <v>9.2999999999999992E-3</v>
      </c>
      <c r="D114" s="1"/>
      <c r="E114" s="3">
        <v>129829</v>
      </c>
      <c r="F114" s="1">
        <v>9.2999999999999992E-3</v>
      </c>
      <c r="H114" s="6">
        <f t="shared" si="9"/>
        <v>110363.35202662436</v>
      </c>
      <c r="I114" s="6">
        <f t="shared" si="13"/>
        <v>111153.34676462071</v>
      </c>
    </row>
    <row r="115" spans="1:9" x14ac:dyDescent="0.25">
      <c r="A115">
        <v>2017</v>
      </c>
      <c r="B115">
        <v>7</v>
      </c>
      <c r="C115" s="1">
        <v>1.8700000000000001E-2</v>
      </c>
      <c r="D115" s="1"/>
      <c r="E115" s="3">
        <v>128919</v>
      </c>
      <c r="F115" s="1">
        <v>1.8700000000000001E-2</v>
      </c>
      <c r="H115" s="6">
        <f t="shared" si="9"/>
        <v>107820.34676462071</v>
      </c>
      <c r="I115" s="6">
        <f t="shared" si="13"/>
        <v>109372.22877262946</v>
      </c>
    </row>
    <row r="116" spans="1:9" x14ac:dyDescent="0.25">
      <c r="A116">
        <v>2017</v>
      </c>
      <c r="B116">
        <v>8</v>
      </c>
      <c r="C116" s="1">
        <v>1.6000000000000001E-3</v>
      </c>
      <c r="D116" s="1"/>
      <c r="E116" s="3">
        <v>125794</v>
      </c>
      <c r="F116" s="1">
        <v>1.6000000000000001E-3</v>
      </c>
      <c r="H116" s="6">
        <f t="shared" si="9"/>
        <v>106039.22877262946</v>
      </c>
      <c r="I116" s="6">
        <f t="shared" si="13"/>
        <v>106169.8166643343</v>
      </c>
    </row>
    <row r="117" spans="1:9" x14ac:dyDescent="0.25">
      <c r="A117">
        <v>2017</v>
      </c>
      <c r="B117">
        <v>9</v>
      </c>
      <c r="C117" s="1">
        <v>2.46E-2</v>
      </c>
      <c r="D117" s="1"/>
      <c r="E117" s="3">
        <v>125559</v>
      </c>
      <c r="F117" s="1">
        <v>2.46E-2</v>
      </c>
      <c r="H117" s="6">
        <f t="shared" si="9"/>
        <v>102836.8166643343</v>
      </c>
      <c r="I117" s="6">
        <f t="shared" si="13"/>
        <v>104783.96975768993</v>
      </c>
    </row>
    <row r="118" spans="1:9" x14ac:dyDescent="0.25">
      <c r="A118">
        <v>2017</v>
      </c>
      <c r="B118">
        <v>10</v>
      </c>
      <c r="C118" s="1">
        <v>2.1700000000000001E-2</v>
      </c>
      <c r="D118" s="1"/>
      <c r="E118" s="3">
        <v>124954</v>
      </c>
      <c r="F118" s="1">
        <v>2.1700000000000001E-2</v>
      </c>
      <c r="H118" s="6">
        <f t="shared" si="9"/>
        <v>101450.96975768993</v>
      </c>
      <c r="I118" s="6">
        <f t="shared" si="13"/>
        <v>103145.43359195587</v>
      </c>
    </row>
    <row r="119" spans="1:9" x14ac:dyDescent="0.25">
      <c r="A119">
        <v>2017</v>
      </c>
      <c r="B119">
        <v>11</v>
      </c>
      <c r="C119" s="1">
        <v>3.04E-2</v>
      </c>
      <c r="D119" s="1"/>
      <c r="E119" s="3">
        <v>125423</v>
      </c>
      <c r="F119" s="1">
        <v>3.04E-2</v>
      </c>
      <c r="H119" s="6">
        <f t="shared" si="9"/>
        <v>99812.433591955865</v>
      </c>
      <c r="I119" s="6">
        <f t="shared" si="13"/>
        <v>102147.90521855895</v>
      </c>
    </row>
    <row r="120" spans="1:9" x14ac:dyDescent="0.25">
      <c r="A120">
        <v>2017</v>
      </c>
      <c r="B120">
        <v>12</v>
      </c>
      <c r="C120" s="1">
        <v>1.01E-2</v>
      </c>
      <c r="D120" s="1"/>
      <c r="E120" s="3">
        <v>123351</v>
      </c>
      <c r="F120" s="1">
        <v>1.01E-2</v>
      </c>
      <c r="H120" s="6">
        <f t="shared" si="9"/>
        <v>98814.905218558953</v>
      </c>
      <c r="I120" s="6">
        <f t="shared" si="13"/>
        <v>99583.080272367675</v>
      </c>
    </row>
    <row r="121" spans="1:9" x14ac:dyDescent="0.25">
      <c r="A121">
        <v>2018</v>
      </c>
      <c r="B121">
        <v>1</v>
      </c>
      <c r="C121" s="1">
        <v>5.3199999999999997E-2</v>
      </c>
      <c r="D121" s="1"/>
      <c r="E121" s="3">
        <v>126581</v>
      </c>
      <c r="F121" s="1">
        <v>5.3199999999999997E-2</v>
      </c>
      <c r="H121" s="6">
        <f t="shared" si="9"/>
        <v>96250.080272367675</v>
      </c>
      <c r="I121" s="6">
        <f t="shared" si="13"/>
        <v>100191.28595214659</v>
      </c>
    </row>
    <row r="122" spans="1:9" x14ac:dyDescent="0.25">
      <c r="A122">
        <v>2018</v>
      </c>
      <c r="B122">
        <v>2</v>
      </c>
      <c r="C122" s="108">
        <v>-3.7100000000000001E-2</v>
      </c>
      <c r="D122" s="1"/>
      <c r="E122" s="3">
        <v>118546</v>
      </c>
      <c r="F122" s="1">
        <v>-3.7100000000000001E-2</v>
      </c>
      <c r="H122" s="6">
        <f t="shared" si="9"/>
        <v>96858.285952146587</v>
      </c>
      <c r="I122" s="6">
        <f t="shared" si="10"/>
        <v>93264.843543321942</v>
      </c>
    </row>
    <row r="123" spans="1:9" x14ac:dyDescent="0.25">
      <c r="A123">
        <v>2018</v>
      </c>
      <c r="B123">
        <v>3</v>
      </c>
      <c r="C123" s="108">
        <v>-1.9800000000000002E-2</v>
      </c>
      <c r="D123" s="1"/>
      <c r="E123" s="3">
        <v>112862</v>
      </c>
      <c r="F123" s="1">
        <v>-1.9800000000000002E-2</v>
      </c>
      <c r="H123" s="6">
        <f t="shared" si="9"/>
        <v>89931.843543321942</v>
      </c>
      <c r="I123" s="6">
        <f t="shared" si="10"/>
        <v>88151.193041164166</v>
      </c>
    </row>
    <row r="124" spans="1:9" x14ac:dyDescent="0.25">
      <c r="A124">
        <v>2018</v>
      </c>
      <c r="B124">
        <v>4</v>
      </c>
      <c r="C124" s="1">
        <v>3.8E-3</v>
      </c>
      <c r="D124" s="1"/>
      <c r="E124" s="3">
        <v>109957</v>
      </c>
      <c r="F124" s="1">
        <v>3.8E-3</v>
      </c>
      <c r="H124" s="6">
        <f t="shared" si="9"/>
        <v>84818.193041164166</v>
      </c>
      <c r="I124" s="6">
        <f t="shared" ref="I124:I129" si="14">H124+(H124*(C124-C124*$K$28))</f>
        <v>85066.271457022158</v>
      </c>
    </row>
    <row r="125" spans="1:9" x14ac:dyDescent="0.25">
      <c r="A125">
        <v>2018</v>
      </c>
      <c r="B125">
        <v>5</v>
      </c>
      <c r="C125" s="1">
        <v>2.8199999999999999E-2</v>
      </c>
      <c r="D125" s="1"/>
      <c r="E125" s="3">
        <v>109725</v>
      </c>
      <c r="F125" s="1">
        <v>2.8199999999999999E-2</v>
      </c>
      <c r="H125" s="6">
        <f t="shared" si="9"/>
        <v>81733.271457022158</v>
      </c>
      <c r="I125" s="6">
        <f t="shared" si="14"/>
        <v>83507.31533830626</v>
      </c>
    </row>
    <row r="126" spans="1:9" x14ac:dyDescent="0.25">
      <c r="A126">
        <v>2018</v>
      </c>
      <c r="B126">
        <v>6</v>
      </c>
      <c r="C126" s="1">
        <v>6.7000000000000002E-3</v>
      </c>
      <c r="D126" s="1"/>
      <c r="E126" s="3">
        <v>107132</v>
      </c>
      <c r="F126" s="1">
        <v>6.7000000000000002E-3</v>
      </c>
      <c r="H126" s="6">
        <f t="shared" si="9"/>
        <v>80174.31533830626</v>
      </c>
      <c r="I126" s="6">
        <f t="shared" si="14"/>
        <v>80587.768607155565</v>
      </c>
    </row>
    <row r="127" spans="1:9" x14ac:dyDescent="0.25">
      <c r="A127">
        <v>2018</v>
      </c>
      <c r="B127">
        <v>7</v>
      </c>
      <c r="C127" s="1">
        <v>3.3500000000000002E-2</v>
      </c>
      <c r="D127" s="1"/>
      <c r="E127" s="3">
        <v>107389</v>
      </c>
      <c r="F127" s="1">
        <v>3.3500000000000002E-2</v>
      </c>
      <c r="H127" s="6">
        <f t="shared" si="9"/>
        <v>77254.768607155565</v>
      </c>
      <c r="I127" s="6">
        <f t="shared" si="14"/>
        <v>79246.755472278455</v>
      </c>
    </row>
    <row r="128" spans="1:9" x14ac:dyDescent="0.25">
      <c r="A128">
        <v>2018</v>
      </c>
      <c r="B128">
        <v>8</v>
      </c>
      <c r="C128" s="1">
        <v>3.4500000000000003E-2</v>
      </c>
      <c r="D128" s="1"/>
      <c r="E128" s="3">
        <v>107766</v>
      </c>
      <c r="F128" s="1">
        <v>3.4500000000000003E-2</v>
      </c>
      <c r="H128" s="6">
        <f t="shared" si="9"/>
        <v>75913.755472278455</v>
      </c>
      <c r="I128" s="6">
        <f t="shared" si="14"/>
        <v>77929.594917192371</v>
      </c>
    </row>
    <row r="129" spans="1:9" x14ac:dyDescent="0.25">
      <c r="A129">
        <v>2018</v>
      </c>
      <c r="B129">
        <v>9</v>
      </c>
      <c r="C129" s="1">
        <v>1.6000000000000001E-3</v>
      </c>
      <c r="D129" s="1"/>
      <c r="E129" s="3">
        <v>104607</v>
      </c>
      <c r="F129" s="1">
        <v>1.6000000000000001E-3</v>
      </c>
      <c r="H129" s="6">
        <f t="shared" si="9"/>
        <v>74596.594917192371</v>
      </c>
      <c r="I129" s="6">
        <f t="shared" si="14"/>
        <v>74688.461032887004</v>
      </c>
    </row>
    <row r="130" spans="1:9" x14ac:dyDescent="0.25">
      <c r="A130">
        <v>2018</v>
      </c>
      <c r="B130">
        <v>10</v>
      </c>
      <c r="C130" s="108">
        <v>-7.3999999999999996E-2</v>
      </c>
      <c r="D130" s="1"/>
      <c r="E130" s="3">
        <v>93533</v>
      </c>
      <c r="F130" s="1">
        <v>-7.3999999999999996E-2</v>
      </c>
      <c r="H130" s="6">
        <f t="shared" si="9"/>
        <v>71355.461032887004</v>
      </c>
      <c r="I130" s="6">
        <f t="shared" si="10"/>
        <v>66075.156916453372</v>
      </c>
    </row>
    <row r="131" spans="1:9" x14ac:dyDescent="0.25">
      <c r="A131">
        <v>2018</v>
      </c>
      <c r="B131">
        <v>11</v>
      </c>
      <c r="C131" s="1">
        <v>2.0799999999999999E-2</v>
      </c>
      <c r="D131" s="1"/>
      <c r="E131" s="3">
        <v>92141</v>
      </c>
      <c r="F131" s="1">
        <v>2.0799999999999999E-2</v>
      </c>
      <c r="H131" s="6">
        <f t="shared" si="9"/>
        <v>62742.156916453372</v>
      </c>
      <c r="I131" s="6">
        <f t="shared" ref="I131" si="15">H131+(H131*(C131-C131*$K$28))</f>
        <v>63746.631950253613</v>
      </c>
    </row>
    <row r="132" spans="1:9" x14ac:dyDescent="0.25">
      <c r="A132">
        <v>2018</v>
      </c>
      <c r="B132">
        <v>12</v>
      </c>
      <c r="C132" s="108">
        <v>-9.2999999999999999E-2</v>
      </c>
      <c r="D132" s="1"/>
      <c r="E132" s="3">
        <v>80243</v>
      </c>
      <c r="F132" s="1">
        <v>-9.2999999999999999E-2</v>
      </c>
      <c r="H132" s="6">
        <f t="shared" si="9"/>
        <v>60413.631950253613</v>
      </c>
      <c r="I132" s="6">
        <f t="shared" si="10"/>
        <v>54795.164178880026</v>
      </c>
    </row>
    <row r="133" spans="1:9" x14ac:dyDescent="0.25">
      <c r="A133">
        <v>2019</v>
      </c>
      <c r="B133">
        <v>1</v>
      </c>
      <c r="C133" s="1">
        <v>8.5999999999999993E-2</v>
      </c>
      <c r="D133" s="1"/>
      <c r="E133" s="3">
        <v>83811</v>
      </c>
      <c r="F133" s="1">
        <v>8.5999999999999993E-2</v>
      </c>
      <c r="H133" s="6">
        <f t="shared" si="9"/>
        <v>51462.164178880026</v>
      </c>
      <c r="I133" s="6">
        <f t="shared" ref="I133:I136" si="16">H133+(H133*(C133-C133*$K$28))</f>
        <v>54868.620813141446</v>
      </c>
    </row>
    <row r="134" spans="1:9" x14ac:dyDescent="0.25">
      <c r="A134">
        <v>2019</v>
      </c>
      <c r="B134">
        <v>2</v>
      </c>
      <c r="C134" s="1">
        <v>3.5099999999999999E-2</v>
      </c>
      <c r="D134" s="1"/>
      <c r="E134" s="3">
        <v>83424</v>
      </c>
      <c r="F134" s="1">
        <v>3.5099999999999999E-2</v>
      </c>
      <c r="H134" s="6">
        <f t="shared" si="9"/>
        <v>51535.620813141446</v>
      </c>
      <c r="I134" s="6">
        <f t="shared" si="16"/>
        <v>52927.914955013686</v>
      </c>
    </row>
    <row r="135" spans="1:9" x14ac:dyDescent="0.25">
      <c r="A135">
        <v>2019</v>
      </c>
      <c r="B135">
        <v>3</v>
      </c>
      <c r="C135" s="1">
        <v>1.4500000000000001E-2</v>
      </c>
      <c r="D135" s="1"/>
      <c r="E135" s="3">
        <v>81296</v>
      </c>
      <c r="F135" s="1">
        <v>1.4500000000000001E-2</v>
      </c>
      <c r="H135" s="6">
        <f t="shared" si="9"/>
        <v>49594.914955013686</v>
      </c>
      <c r="I135" s="6">
        <f t="shared" si="16"/>
        <v>50148.419918130756</v>
      </c>
    </row>
    <row r="136" spans="1:9" x14ac:dyDescent="0.25">
      <c r="A136">
        <v>2019</v>
      </c>
      <c r="B136">
        <v>4</v>
      </c>
      <c r="C136" s="1">
        <v>3.9800000000000002E-2</v>
      </c>
      <c r="D136" s="1"/>
      <c r="E136" s="3">
        <v>81195</v>
      </c>
      <c r="F136" s="1">
        <v>3.9800000000000002E-2</v>
      </c>
      <c r="H136" s="6">
        <f t="shared" si="9"/>
        <v>46815.419918130756</v>
      </c>
      <c r="I136" s="6">
        <f t="shared" si="16"/>
        <v>48249.549395933864</v>
      </c>
    </row>
    <row r="137" spans="1:9" x14ac:dyDescent="0.25">
      <c r="A137">
        <v>2019</v>
      </c>
      <c r="B137">
        <v>5</v>
      </c>
      <c r="C137" s="108">
        <v>-6.4299999999999996E-2</v>
      </c>
      <c r="D137" s="1"/>
      <c r="E137" s="3">
        <v>72640</v>
      </c>
      <c r="F137" s="1">
        <v>-6.4299999999999996E-2</v>
      </c>
      <c r="H137" s="6">
        <f t="shared" si="9"/>
        <v>44916.549395933864</v>
      </c>
      <c r="I137" s="6">
        <f t="shared" si="10"/>
        <v>42028.415269775316</v>
      </c>
    </row>
    <row r="138" spans="1:9" x14ac:dyDescent="0.25">
      <c r="A138">
        <v>2019</v>
      </c>
      <c r="B138">
        <v>6</v>
      </c>
      <c r="C138" s="1">
        <v>6.9900000000000004E-2</v>
      </c>
      <c r="D138" s="1"/>
      <c r="E138" s="3">
        <v>74385</v>
      </c>
      <c r="F138" s="1">
        <v>6.9900000000000004E-2</v>
      </c>
      <c r="H138" s="6">
        <f t="shared" si="9"/>
        <v>38695.415269775316</v>
      </c>
      <c r="I138" s="6">
        <f t="shared" ref="I138:I139" si="17">H138+(H138*(C138-C138*$K$28))</f>
        <v>40777.282622835963</v>
      </c>
    </row>
    <row r="139" spans="1:9" x14ac:dyDescent="0.25">
      <c r="A139">
        <v>2019</v>
      </c>
      <c r="B139">
        <v>7</v>
      </c>
      <c r="C139" s="1">
        <v>1.44E-2</v>
      </c>
      <c r="D139" s="1"/>
      <c r="E139" s="3">
        <v>72121</v>
      </c>
      <c r="F139" s="1">
        <v>1.44E-2</v>
      </c>
      <c r="H139" s="6">
        <f t="shared" si="9"/>
        <v>37444.282622835963</v>
      </c>
      <c r="I139" s="6">
        <f t="shared" si="17"/>
        <v>37859.298177234312</v>
      </c>
    </row>
    <row r="140" spans="1:9" x14ac:dyDescent="0.25">
      <c r="A140">
        <v>2019</v>
      </c>
      <c r="B140">
        <v>8</v>
      </c>
      <c r="C140" s="108">
        <v>-2.01E-2</v>
      </c>
      <c r="D140" s="1"/>
      <c r="E140" s="3">
        <v>67338</v>
      </c>
      <c r="F140" s="1">
        <v>-2.01E-2</v>
      </c>
      <c r="H140" s="6">
        <f t="shared" si="9"/>
        <v>34526.298177234312</v>
      </c>
      <c r="I140" s="6">
        <f t="shared" si="10"/>
        <v>33832.319583871904</v>
      </c>
    </row>
    <row r="141" spans="1:9" x14ac:dyDescent="0.25">
      <c r="A141">
        <v>2019</v>
      </c>
      <c r="B141">
        <v>9</v>
      </c>
      <c r="C141" s="1">
        <v>1.7000000000000001E-2</v>
      </c>
      <c r="D141" s="1"/>
      <c r="E141" s="3">
        <v>65150</v>
      </c>
      <c r="F141" s="1">
        <v>1.7000000000000001E-2</v>
      </c>
      <c r="H141" s="6">
        <f t="shared" si="9"/>
        <v>30499.319583871904</v>
      </c>
      <c r="I141" s="6">
        <f t="shared" ref="I141:I144" si="18">H141+(H141*(C141-C141*$K$28))</f>
        <v>30898.395426562565</v>
      </c>
    </row>
    <row r="142" spans="1:9" x14ac:dyDescent="0.25">
      <c r="A142">
        <v>2019</v>
      </c>
      <c r="B142">
        <v>10</v>
      </c>
      <c r="C142" s="1">
        <v>2.1100000000000001E-2</v>
      </c>
      <c r="D142" s="1"/>
      <c r="E142" s="3">
        <v>63191</v>
      </c>
      <c r="F142" s="1">
        <v>2.1100000000000001E-2</v>
      </c>
      <c r="H142" s="6">
        <f t="shared" si="9"/>
        <v>27565.395426562565</v>
      </c>
      <c r="I142" s="6">
        <f t="shared" si="18"/>
        <v>28013.070640104303</v>
      </c>
    </row>
    <row r="143" spans="1:9" x14ac:dyDescent="0.25">
      <c r="A143">
        <v>2019</v>
      </c>
      <c r="B143">
        <v>11</v>
      </c>
      <c r="C143" s="1">
        <v>3.78E-2</v>
      </c>
      <c r="D143" s="1"/>
      <c r="E143" s="3">
        <v>62250</v>
      </c>
      <c r="F143" s="1">
        <v>3.78E-2</v>
      </c>
      <c r="H143" s="6">
        <f t="shared" si="9"/>
        <v>24680.070640104303</v>
      </c>
      <c r="I143" s="6">
        <f t="shared" si="18"/>
        <v>25398.120440095598</v>
      </c>
    </row>
    <row r="144" spans="1:9" x14ac:dyDescent="0.25">
      <c r="A144" s="10">
        <v>2019</v>
      </c>
      <c r="B144" s="10">
        <v>12</v>
      </c>
      <c r="C144" s="11">
        <v>2.86E-2</v>
      </c>
      <c r="D144" s="11"/>
      <c r="E144" s="14">
        <v>60699</v>
      </c>
      <c r="F144" s="11">
        <v>2.86E-2</v>
      </c>
      <c r="H144" s="124">
        <f t="shared" si="9"/>
        <v>22065.120440095598</v>
      </c>
      <c r="I144" s="124">
        <f t="shared" si="18"/>
        <v>22550.843478202238</v>
      </c>
    </row>
    <row r="145" spans="1:1" x14ac:dyDescent="0.25">
      <c r="A145" t="s">
        <v>21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3EAA-43EC-4A36-988F-ACDCF7CAA881}">
  <dimension ref="A1:W156"/>
  <sheetViews>
    <sheetView workbookViewId="0"/>
  </sheetViews>
  <sheetFormatPr defaultRowHeight="15" x14ac:dyDescent="0.25"/>
  <cols>
    <col min="5" max="5" width="9.85546875" bestFit="1" customWidth="1"/>
  </cols>
  <sheetData>
    <row r="1" spans="1:23" x14ac:dyDescent="0.25">
      <c r="K1" t="s">
        <v>77</v>
      </c>
      <c r="L1" t="s">
        <v>6</v>
      </c>
      <c r="M1" s="2">
        <f>C4*5</f>
        <v>0.22177499999999994</v>
      </c>
      <c r="N1" s="7">
        <f>M1/M2</f>
        <v>4.2649038461538451</v>
      </c>
      <c r="R1" s="2">
        <v>4.4400000000000002E-2</v>
      </c>
      <c r="V1" s="126">
        <f>D4</f>
        <v>4.2049929178470266E-2</v>
      </c>
    </row>
    <row r="2" spans="1:23" x14ac:dyDescent="0.25">
      <c r="A2" t="s">
        <v>0</v>
      </c>
      <c r="B2" t="s">
        <v>1</v>
      </c>
      <c r="C2" t="s">
        <v>2</v>
      </c>
      <c r="E2" t="s">
        <v>3</v>
      </c>
      <c r="F2" t="s">
        <v>35</v>
      </c>
      <c r="L2" t="s">
        <v>7</v>
      </c>
      <c r="M2" s="5">
        <v>5.1999999999999998E-2</v>
      </c>
      <c r="P2" t="s">
        <v>8</v>
      </c>
      <c r="Q2">
        <v>200000</v>
      </c>
      <c r="R2">
        <v>40000</v>
      </c>
      <c r="S2" t="s">
        <v>9</v>
      </c>
      <c r="T2" t="s">
        <v>8</v>
      </c>
      <c r="U2">
        <v>200000</v>
      </c>
      <c r="V2">
        <v>40000</v>
      </c>
      <c r="W2" t="s">
        <v>9</v>
      </c>
    </row>
    <row r="3" spans="1:23" ht="15.75" thickBot="1" x14ac:dyDescent="0.3">
      <c r="A3" t="s">
        <v>5</v>
      </c>
      <c r="P3">
        <v>1</v>
      </c>
      <c r="Q3">
        <f>Q2 - R2</f>
        <v>160000</v>
      </c>
      <c r="R3" s="6">
        <f>Q3*(1+R1)</f>
        <v>167104</v>
      </c>
      <c r="T3">
        <v>1</v>
      </c>
      <c r="U3">
        <f>U2 - V2</f>
        <v>160000</v>
      </c>
      <c r="V3" s="6">
        <f>U3*(1+V1)</f>
        <v>166727.98866855522</v>
      </c>
    </row>
    <row r="4" spans="1:23" x14ac:dyDescent="0.25">
      <c r="C4" s="1">
        <f>AVERAGE(C5:C24)</f>
        <v>4.4354999999999992E-2</v>
      </c>
      <c r="D4" s="1">
        <f>AVERAGE(D5:D24)</f>
        <v>4.2049929178470266E-2</v>
      </c>
      <c r="F4" s="1">
        <f>AVERAGE(F5:F24)</f>
        <v>4.4354999999999992E-2</v>
      </c>
      <c r="I4" s="2" t="s">
        <v>36</v>
      </c>
      <c r="K4" s="31" t="s">
        <v>76</v>
      </c>
      <c r="L4" s="32" t="s">
        <v>6</v>
      </c>
      <c r="M4" s="33">
        <f>M1</f>
        <v>0.22177499999999994</v>
      </c>
      <c r="N4" s="34">
        <f>M4/M5</f>
        <v>14.216346153846152</v>
      </c>
      <c r="P4">
        <v>2</v>
      </c>
      <c r="Q4" s="6">
        <f>R3-R2</f>
        <v>127104</v>
      </c>
      <c r="R4" s="6">
        <f>Q4*(1+R1)</f>
        <v>132747.41759999999</v>
      </c>
      <c r="T4">
        <v>2</v>
      </c>
      <c r="U4" s="6">
        <f>V3-V2</f>
        <v>126727.98866855522</v>
      </c>
      <c r="V4" s="6">
        <f>U4*(1+V1)</f>
        <v>132056.89161699795</v>
      </c>
    </row>
    <row r="5" spans="1:23" ht="15.75" thickBot="1" x14ac:dyDescent="0.3">
      <c r="A5">
        <v>2000</v>
      </c>
      <c r="B5" s="1">
        <v>3.39E-2</v>
      </c>
      <c r="C5" s="1">
        <v>9.2399999999999996E-2</v>
      </c>
      <c r="D5" s="1">
        <f>C5-C5*('TAX reduces gains by'!$Y$5)</f>
        <v>8.7688385269121816E-2</v>
      </c>
      <c r="E5" s="3">
        <v>1092</v>
      </c>
      <c r="F5" s="1">
        <v>9.2399999999999996E-2</v>
      </c>
      <c r="I5">
        <v>1</v>
      </c>
      <c r="K5" s="35"/>
      <c r="L5" s="36" t="s">
        <v>7</v>
      </c>
      <c r="M5" s="38">
        <v>1.5599999999999999E-2</v>
      </c>
      <c r="N5" s="37"/>
      <c r="P5">
        <v>3</v>
      </c>
      <c r="Q5" s="6">
        <f>R4-R2</f>
        <v>92747.417599999986</v>
      </c>
      <c r="R5" s="6">
        <f>Q5*(1+R1)</f>
        <v>96865.402941439985</v>
      </c>
      <c r="T5">
        <v>3</v>
      </c>
      <c r="U5" s="6">
        <f>V4-V2</f>
        <v>92056.891616997949</v>
      </c>
      <c r="V5" s="6">
        <f>U5*(1+V1)</f>
        <v>95927.877389882822</v>
      </c>
    </row>
    <row r="6" spans="1:23" ht="15.75" thickBot="1" x14ac:dyDescent="0.3">
      <c r="A6">
        <v>2001</v>
      </c>
      <c r="B6" s="1">
        <v>1.55E-2</v>
      </c>
      <c r="C6" s="1">
        <v>5.0500000000000003E-2</v>
      </c>
      <c r="D6" s="1">
        <f>C6-C6*('TAX reduces gains by'!$Y$5)</f>
        <v>4.7924929178470264E-2</v>
      </c>
      <c r="E6" s="3">
        <v>1148</v>
      </c>
      <c r="F6" s="1">
        <v>5.0500000000000003E-2</v>
      </c>
      <c r="I6">
        <v>2</v>
      </c>
      <c r="P6">
        <v>4</v>
      </c>
      <c r="Q6" s="6">
        <f>R5-R2</f>
        <v>56865.402941439985</v>
      </c>
      <c r="R6" s="6">
        <f>Q6*(1+R1)</f>
        <v>59390.226832039916</v>
      </c>
      <c r="T6">
        <v>4</v>
      </c>
      <c r="U6" s="6">
        <f>V5-V2</f>
        <v>55927.877389882822</v>
      </c>
      <c r="V6" s="6">
        <f>U6*(1+V1)</f>
        <v>58279.640673229558</v>
      </c>
    </row>
    <row r="7" spans="1:23" x14ac:dyDescent="0.25">
      <c r="A7">
        <v>2002</v>
      </c>
      <c r="B7" s="1">
        <v>2.3800000000000002E-2</v>
      </c>
      <c r="C7" s="1">
        <v>7.9100000000000004E-2</v>
      </c>
      <c r="D7" s="1">
        <f>C7-C7*('TAX reduces gains by'!$Y$5)</f>
        <v>7.5066572237960358E-2</v>
      </c>
      <c r="E7" s="3">
        <v>1238</v>
      </c>
      <c r="F7" s="1">
        <v>7.9100000000000004E-2</v>
      </c>
      <c r="I7">
        <v>3</v>
      </c>
      <c r="K7" s="113" t="s">
        <v>139</v>
      </c>
      <c r="L7" s="114" t="s">
        <v>6</v>
      </c>
      <c r="M7" s="115">
        <f>D4*5</f>
        <v>0.21024964589235134</v>
      </c>
      <c r="N7" s="116">
        <f>M7/M8</f>
        <v>13.477541403355856</v>
      </c>
      <c r="P7">
        <v>5</v>
      </c>
      <c r="Q7" s="6">
        <f>R6-R2</f>
        <v>19390.226832039916</v>
      </c>
      <c r="R7" s="6">
        <f>Q7*(1+R1)</f>
        <v>20251.152903382488</v>
      </c>
      <c r="T7">
        <v>5</v>
      </c>
      <c r="U7" s="6">
        <f>V6-V2</f>
        <v>18279.640673229558</v>
      </c>
      <c r="V7" s="109">
        <f>U7*(1+V1)</f>
        <v>19048.298268946743</v>
      </c>
    </row>
    <row r="8" spans="1:23" ht="15.75" thickBot="1" x14ac:dyDescent="0.3">
      <c r="A8">
        <v>2003</v>
      </c>
      <c r="B8" s="1">
        <v>1.8800000000000001E-2</v>
      </c>
      <c r="C8" s="1">
        <v>4.4600000000000001E-2</v>
      </c>
      <c r="D8" s="1">
        <f>C8-C8*('TAX reduces gains by'!$Y$5)</f>
        <v>4.2325779036827202E-2</v>
      </c>
      <c r="E8" s="3">
        <v>1294</v>
      </c>
      <c r="F8" s="1">
        <v>4.4600000000000001E-2</v>
      </c>
      <c r="I8">
        <v>4</v>
      </c>
      <c r="K8" s="117"/>
      <c r="L8" s="118" t="s">
        <v>7</v>
      </c>
      <c r="M8" s="119">
        <f>M5</f>
        <v>1.5599999999999999E-2</v>
      </c>
      <c r="N8" s="120"/>
    </row>
    <row r="9" spans="1:23" ht="15.75" thickBot="1" x14ac:dyDescent="0.3">
      <c r="A9">
        <v>2004</v>
      </c>
      <c r="B9" s="1">
        <v>3.2599999999999997E-2</v>
      </c>
      <c r="C9" s="1">
        <v>3.2300000000000002E-2</v>
      </c>
      <c r="D9" s="1">
        <f>C9-C9*('TAX reduces gains by'!$Y$5)</f>
        <v>3.0652974504249298E-2</v>
      </c>
      <c r="E9" s="3">
        <v>1335</v>
      </c>
      <c r="F9" s="1">
        <v>3.2300000000000002E-2</v>
      </c>
      <c r="I9">
        <v>5</v>
      </c>
    </row>
    <row r="10" spans="1:23" x14ac:dyDescent="0.25">
      <c r="A10">
        <v>2005</v>
      </c>
      <c r="B10" s="1">
        <v>3.4200000000000001E-2</v>
      </c>
      <c r="C10" s="1">
        <v>2.24E-2</v>
      </c>
      <c r="D10" s="1">
        <f>C10-C10*('TAX reduces gains by'!$Y$5)</f>
        <v>2.1257790368271957E-2</v>
      </c>
      <c r="E10" s="3">
        <v>1365</v>
      </c>
      <c r="F10" s="1">
        <v>2.24E-2</v>
      </c>
      <c r="I10">
        <v>6</v>
      </c>
      <c r="K10" s="241" t="s">
        <v>184</v>
      </c>
      <c r="L10" s="242" t="s">
        <v>6</v>
      </c>
      <c r="M10" s="243">
        <f>(C4-C4*'TAX reduces gains by'!Y23)*5</f>
        <v>0.21046635977337108</v>
      </c>
      <c r="N10" s="244">
        <f>M10/M11</f>
        <v>13.491433318805839</v>
      </c>
      <c r="P10" t="s">
        <v>10</v>
      </c>
      <c r="T10" t="s">
        <v>10</v>
      </c>
    </row>
    <row r="11" spans="1:23" ht="15.75" thickBot="1" x14ac:dyDescent="0.3">
      <c r="A11">
        <v>2006</v>
      </c>
      <c r="B11" s="1">
        <v>2.5399999999999999E-2</v>
      </c>
      <c r="C11" s="1">
        <v>4.4299999999999999E-2</v>
      </c>
      <c r="D11" s="1">
        <f>C11-C11*('TAX reduces gains by'!$Y$5)</f>
        <v>4.2041076487252131E-2</v>
      </c>
      <c r="E11" s="3">
        <v>1426</v>
      </c>
      <c r="F11" s="1">
        <v>4.4299999999999999E-2</v>
      </c>
      <c r="I11">
        <v>7</v>
      </c>
      <c r="K11" s="245" t="s">
        <v>183</v>
      </c>
      <c r="L11" s="246" t="s">
        <v>7</v>
      </c>
      <c r="M11" s="247">
        <f>M8</f>
        <v>1.5599999999999999E-2</v>
      </c>
      <c r="N11" s="248"/>
      <c r="P11" t="s">
        <v>11</v>
      </c>
      <c r="T11" t="s">
        <v>11</v>
      </c>
    </row>
    <row r="12" spans="1:23" x14ac:dyDescent="0.25">
      <c r="A12">
        <v>2007</v>
      </c>
      <c r="B12" s="1">
        <v>4.0800000000000003E-2</v>
      </c>
      <c r="C12" s="1">
        <v>3.4299999999999997E-2</v>
      </c>
      <c r="D12" s="1">
        <f>C12-C12*('TAX reduces gains by'!$Y$5)</f>
        <v>3.2550991501416431E-2</v>
      </c>
      <c r="E12" s="3">
        <v>1475</v>
      </c>
      <c r="F12" s="1">
        <v>3.4299999999999997E-2</v>
      </c>
      <c r="I12">
        <v>8</v>
      </c>
    </row>
    <row r="13" spans="1:23" x14ac:dyDescent="0.25">
      <c r="A13">
        <v>2008</v>
      </c>
      <c r="B13" s="1">
        <v>8.9999999999999998E-4</v>
      </c>
      <c r="C13" s="1">
        <v>-1.4E-3</v>
      </c>
      <c r="D13" s="108">
        <f>C13</f>
        <v>-1.4E-3</v>
      </c>
      <c r="E13" s="3">
        <v>1473</v>
      </c>
      <c r="F13" s="1">
        <v>-1.4E-3</v>
      </c>
      <c r="I13">
        <v>9</v>
      </c>
    </row>
    <row r="14" spans="1:23" x14ac:dyDescent="0.25">
      <c r="A14">
        <v>2009</v>
      </c>
      <c r="B14" s="1">
        <v>2.7199999999999998E-2</v>
      </c>
      <c r="C14" s="1">
        <v>0.1022</v>
      </c>
      <c r="D14" s="1">
        <f>C14-C14*('TAX reduces gains by'!$Y$5)</f>
        <v>9.6988668555240798E-2</v>
      </c>
      <c r="E14" s="3">
        <v>1623</v>
      </c>
      <c r="F14" s="1">
        <v>0.1022</v>
      </c>
      <c r="I14">
        <v>10</v>
      </c>
    </row>
    <row r="15" spans="1:23" x14ac:dyDescent="0.25">
      <c r="A15">
        <v>2010</v>
      </c>
      <c r="B15" s="1">
        <v>1.4999999999999999E-2</v>
      </c>
      <c r="C15" s="1">
        <v>2.1299999999999999E-2</v>
      </c>
      <c r="D15" s="1">
        <f>C15-C15*('TAX reduces gains by'!$Y$5)</f>
        <v>2.0213881019830029E-2</v>
      </c>
      <c r="E15" s="3">
        <v>1658</v>
      </c>
      <c r="F15" s="1">
        <v>2.1299999999999999E-2</v>
      </c>
      <c r="I15">
        <v>11</v>
      </c>
    </row>
    <row r="16" spans="1:23" x14ac:dyDescent="0.25">
      <c r="A16">
        <v>2011</v>
      </c>
      <c r="B16" s="1">
        <v>2.9600000000000001E-2</v>
      </c>
      <c r="C16" s="1">
        <v>9.6199999999999994E-2</v>
      </c>
      <c r="D16" s="1">
        <f>C16-C16*('TAX reduces gains by'!$Y$5)</f>
        <v>9.1294617563739383E-2</v>
      </c>
      <c r="E16" s="3">
        <v>1817</v>
      </c>
      <c r="F16" s="1">
        <v>9.6199999999999994E-2</v>
      </c>
      <c r="I16">
        <v>12</v>
      </c>
    </row>
    <row r="17" spans="1:15" x14ac:dyDescent="0.25">
      <c r="A17">
        <v>2012</v>
      </c>
      <c r="B17" s="1">
        <v>1.7399999999999999E-2</v>
      </c>
      <c r="C17" s="1">
        <v>5.7000000000000002E-2</v>
      </c>
      <c r="D17" s="1">
        <f>C17-C17*('TAX reduces gains by'!$Y$5)</f>
        <v>5.4093484419263461E-2</v>
      </c>
      <c r="E17" s="3">
        <v>1921</v>
      </c>
      <c r="F17" s="1">
        <v>5.7000000000000002E-2</v>
      </c>
      <c r="I17">
        <v>13</v>
      </c>
    </row>
    <row r="18" spans="1:15" x14ac:dyDescent="0.25">
      <c r="A18">
        <v>2013</v>
      </c>
      <c r="B18" s="1">
        <v>1.4999999999999999E-2</v>
      </c>
      <c r="C18" s="1">
        <v>-1.5599999999999999E-2</v>
      </c>
      <c r="D18" s="108">
        <f>C18</f>
        <v>-1.5599999999999999E-2</v>
      </c>
      <c r="E18" s="3">
        <v>1891</v>
      </c>
      <c r="F18" s="1">
        <v>-1.5599999999999999E-2</v>
      </c>
      <c r="I18">
        <v>14</v>
      </c>
    </row>
    <row r="19" spans="1:15" x14ac:dyDescent="0.25">
      <c r="A19">
        <v>2014</v>
      </c>
      <c r="B19" s="1">
        <v>7.6E-3</v>
      </c>
      <c r="C19" s="1">
        <v>7.2499999999999995E-2</v>
      </c>
      <c r="D19" s="1">
        <f>C19-C19*('TAX reduces gains by'!$Y$5)</f>
        <v>6.8803116147308788E-2</v>
      </c>
      <c r="E19" s="3">
        <v>2028</v>
      </c>
      <c r="F19" s="1">
        <v>7.2499999999999995E-2</v>
      </c>
      <c r="I19">
        <v>15</v>
      </c>
    </row>
    <row r="20" spans="1:15" x14ac:dyDescent="0.25">
      <c r="A20">
        <v>2015</v>
      </c>
      <c r="B20" s="1">
        <v>7.3000000000000001E-3</v>
      </c>
      <c r="C20" s="1">
        <v>2.86E-2</v>
      </c>
      <c r="D20" s="1">
        <f>C20-C20*('TAX reduces gains by'!$Y$5)</f>
        <v>2.714164305949009E-2</v>
      </c>
      <c r="E20" s="3">
        <v>2086</v>
      </c>
      <c r="F20" s="1">
        <v>2.86E-2</v>
      </c>
      <c r="I20">
        <v>16</v>
      </c>
    </row>
    <row r="21" spans="1:15" x14ac:dyDescent="0.25">
      <c r="A21">
        <v>2016</v>
      </c>
      <c r="B21" s="1">
        <v>2.07E-2</v>
      </c>
      <c r="C21" s="1">
        <v>8.0000000000000004E-4</v>
      </c>
      <c r="D21" s="1">
        <f>C21-C21*('TAX reduces gains by'!$Y$5)</f>
        <v>7.592067988668556E-4</v>
      </c>
      <c r="E21" s="3">
        <v>2087</v>
      </c>
      <c r="F21" s="1">
        <v>8.0000000000000004E-4</v>
      </c>
      <c r="I21">
        <v>17</v>
      </c>
    </row>
    <row r="22" spans="1:15" x14ac:dyDescent="0.25">
      <c r="A22">
        <v>2017</v>
      </c>
      <c r="B22" s="1">
        <v>2.1100000000000001E-2</v>
      </c>
      <c r="C22" s="1">
        <v>4.53E-2</v>
      </c>
      <c r="D22" s="1">
        <f>C22-C22*('TAX reduces gains by'!$Y$5)</f>
        <v>4.2990084985835696E-2</v>
      </c>
      <c r="E22" s="3">
        <v>2182</v>
      </c>
      <c r="F22" s="1">
        <v>4.53E-2</v>
      </c>
      <c r="I22">
        <v>18</v>
      </c>
    </row>
    <row r="23" spans="1:15" x14ac:dyDescent="0.25">
      <c r="A23">
        <v>2018</v>
      </c>
      <c r="B23" s="1">
        <v>1.9099999999999999E-2</v>
      </c>
      <c r="C23" s="1">
        <v>1.2500000000000001E-2</v>
      </c>
      <c r="D23" s="1">
        <f>C23-C23*('TAX reduces gains by'!$Y$5)</f>
        <v>1.1862606232294619E-2</v>
      </c>
      <c r="E23" s="3">
        <v>2209</v>
      </c>
      <c r="F23" s="1">
        <v>1.2500000000000001E-2</v>
      </c>
      <c r="I23">
        <v>19</v>
      </c>
    </row>
    <row r="24" spans="1:15" x14ac:dyDescent="0.25">
      <c r="A24">
        <v>2019</v>
      </c>
      <c r="B24" s="1">
        <v>2.29E-2</v>
      </c>
      <c r="C24" s="1">
        <v>6.7799999999999999E-2</v>
      </c>
      <c r="D24" s="1">
        <f>C24-C24*('TAX reduces gains by'!$Y$5)</f>
        <v>6.4342776203966015E-2</v>
      </c>
      <c r="E24" s="3">
        <v>2359</v>
      </c>
      <c r="F24" s="1">
        <v>6.7799999999999999E-2</v>
      </c>
      <c r="I24">
        <v>20</v>
      </c>
    </row>
    <row r="27" spans="1:15" x14ac:dyDescent="0.25">
      <c r="A27" t="s">
        <v>0</v>
      </c>
      <c r="B27" t="s">
        <v>18</v>
      </c>
      <c r="C27" t="s">
        <v>2</v>
      </c>
      <c r="E27" t="s">
        <v>3</v>
      </c>
      <c r="F27" t="s">
        <v>35</v>
      </c>
      <c r="K27" t="s">
        <v>140</v>
      </c>
    </row>
    <row r="28" spans="1:15" x14ac:dyDescent="0.25">
      <c r="A28" t="s">
        <v>20</v>
      </c>
      <c r="G28" t="s">
        <v>141</v>
      </c>
      <c r="H28">
        <v>200000</v>
      </c>
      <c r="K28" s="125">
        <f>'TAX reduces gains by'!Y5</f>
        <v>5.0991501416430489E-2</v>
      </c>
      <c r="L28" s="121" t="s">
        <v>150</v>
      </c>
    </row>
    <row r="29" spans="1:15" x14ac:dyDescent="0.25">
      <c r="G29" t="s">
        <v>142</v>
      </c>
      <c r="H29">
        <v>3333</v>
      </c>
      <c r="L29" t="s">
        <v>143</v>
      </c>
    </row>
    <row r="30" spans="1:15" x14ac:dyDescent="0.25">
      <c r="A30">
        <v>2008</v>
      </c>
      <c r="B30">
        <v>1</v>
      </c>
      <c r="C30" s="1">
        <v>1.6299999999999999E-2</v>
      </c>
      <c r="D30" s="1"/>
      <c r="E30" s="3">
        <v>199925</v>
      </c>
      <c r="F30" s="1">
        <v>1.6299999999999999E-2</v>
      </c>
      <c r="H30">
        <f>(H28-$H$29)</f>
        <v>196667</v>
      </c>
      <c r="I30" s="6">
        <f>H30+(H30*(C30-C30*$K$28))</f>
        <v>199709.21006657224</v>
      </c>
      <c r="J30">
        <f>H33+(H33*(C33-C33*$K$28))</f>
        <v>187836.82872524828</v>
      </c>
      <c r="K30" s="110"/>
      <c r="L30" s="6">
        <v>199872.6721</v>
      </c>
      <c r="M30" s="6">
        <f>E30</f>
        <v>199925</v>
      </c>
      <c r="N30" s="112">
        <f>1-M30/L30</f>
        <v>-2.6180617615301216E-4</v>
      </c>
      <c r="O30" t="s">
        <v>155</v>
      </c>
    </row>
    <row r="31" spans="1:15" x14ac:dyDescent="0.25">
      <c r="A31">
        <v>2008</v>
      </c>
      <c r="B31">
        <v>2</v>
      </c>
      <c r="C31" s="1">
        <v>-4.0800000000000003E-2</v>
      </c>
      <c r="D31" s="1"/>
      <c r="E31" s="3">
        <v>188437</v>
      </c>
      <c r="F31" s="108">
        <v>-4.0800000000000003E-2</v>
      </c>
      <c r="H31" s="6">
        <f>I30-$H$29</f>
        <v>196376.21006657224</v>
      </c>
      <c r="I31" s="6">
        <f>H31+(H31*C31)</f>
        <v>188364.06069585608</v>
      </c>
    </row>
    <row r="32" spans="1:15" x14ac:dyDescent="0.25">
      <c r="A32">
        <v>2008</v>
      </c>
      <c r="B32">
        <v>3</v>
      </c>
      <c r="C32" s="1">
        <v>2.6200000000000001E-2</v>
      </c>
      <c r="D32" s="1"/>
      <c r="E32" s="3">
        <v>190033</v>
      </c>
      <c r="F32" s="1">
        <v>2.6200000000000001E-2</v>
      </c>
      <c r="H32" s="6">
        <f>I31-$H$29</f>
        <v>185031.06069585608</v>
      </c>
      <c r="I32" s="6">
        <f>H32+(H32*(C32-C32*$K$28))</f>
        <v>189631.67718233634</v>
      </c>
    </row>
    <row r="33" spans="1:9" x14ac:dyDescent="0.25">
      <c r="A33">
        <v>2008</v>
      </c>
      <c r="B33">
        <v>4</v>
      </c>
      <c r="C33" s="1">
        <v>8.6999999999999994E-3</v>
      </c>
      <c r="D33" s="1"/>
      <c r="E33" s="3">
        <v>188347</v>
      </c>
      <c r="F33" s="1">
        <v>8.6999999999999994E-3</v>
      </c>
      <c r="H33" s="6">
        <f t="shared" ref="H33:H89" si="0">I32-$H$29</f>
        <v>186298.67718233634</v>
      </c>
      <c r="I33" s="6">
        <f t="shared" ref="I33:I42" si="1">H33+(H33*(C33-C33*$K$28))</f>
        <v>187836.82872524828</v>
      </c>
    </row>
    <row r="34" spans="1:9" x14ac:dyDescent="0.25">
      <c r="A34">
        <v>2008</v>
      </c>
      <c r="B34">
        <v>5</v>
      </c>
      <c r="C34" s="1">
        <v>5.7000000000000002E-3</v>
      </c>
      <c r="D34" s="1"/>
      <c r="E34" s="3">
        <v>186085</v>
      </c>
      <c r="F34" s="1">
        <v>5.7000000000000002E-3</v>
      </c>
      <c r="H34" s="6">
        <f t="shared" si="0"/>
        <v>184503.82872524828</v>
      </c>
      <c r="I34" s="6">
        <f t="shared" si="1"/>
        <v>185501.87422369266</v>
      </c>
    </row>
    <row r="35" spans="1:9" x14ac:dyDescent="0.25">
      <c r="A35">
        <v>2008</v>
      </c>
      <c r="B35">
        <v>6</v>
      </c>
      <c r="C35" s="1">
        <v>-1.03E-2</v>
      </c>
      <c r="D35" s="1"/>
      <c r="E35" s="3">
        <v>180835</v>
      </c>
      <c r="F35" s="108">
        <v>-1.03E-2</v>
      </c>
      <c r="H35" s="6">
        <f t="shared" si="0"/>
        <v>182168.87422369266</v>
      </c>
      <c r="I35" s="6">
        <f>H35+(H35*C35)</f>
        <v>180292.53481918862</v>
      </c>
    </row>
    <row r="36" spans="1:9" x14ac:dyDescent="0.25">
      <c r="A36">
        <v>2008</v>
      </c>
      <c r="B36">
        <v>7</v>
      </c>
      <c r="C36" s="1">
        <v>5.7000000000000002E-3</v>
      </c>
      <c r="D36" s="1"/>
      <c r="E36" s="3">
        <v>178537</v>
      </c>
      <c r="F36" s="1">
        <v>5.7000000000000002E-3</v>
      </c>
      <c r="H36" s="6">
        <f t="shared" si="0"/>
        <v>176959.53481918862</v>
      </c>
      <c r="I36" s="6">
        <f t="shared" si="1"/>
        <v>177916.77060314681</v>
      </c>
    </row>
    <row r="37" spans="1:9" x14ac:dyDescent="0.25">
      <c r="A37">
        <v>2008</v>
      </c>
      <c r="B37">
        <v>8</v>
      </c>
      <c r="C37" s="1">
        <v>1.18E-2</v>
      </c>
      <c r="D37" s="1"/>
      <c r="E37" s="3">
        <v>177311</v>
      </c>
      <c r="F37" s="1">
        <v>1.18E-2</v>
      </c>
      <c r="H37" s="6">
        <f t="shared" si="0"/>
        <v>174583.77060314681</v>
      </c>
      <c r="I37" s="6">
        <f t="shared" si="1"/>
        <v>176538.81209094918</v>
      </c>
    </row>
    <row r="38" spans="1:9" x14ac:dyDescent="0.25">
      <c r="A38">
        <v>2008</v>
      </c>
      <c r="B38">
        <v>9</v>
      </c>
      <c r="C38" s="1">
        <v>-3.9199999999999999E-2</v>
      </c>
      <c r="D38" s="1"/>
      <c r="E38" s="3">
        <v>167034</v>
      </c>
      <c r="F38" s="108">
        <v>-3.9199999999999999E-2</v>
      </c>
      <c r="H38" s="6">
        <f t="shared" si="0"/>
        <v>173205.81209094918</v>
      </c>
      <c r="I38" s="6">
        <f>H38+(H38*C38)</f>
        <v>166416.14425698397</v>
      </c>
    </row>
    <row r="39" spans="1:9" x14ac:dyDescent="0.25">
      <c r="A39">
        <v>2008</v>
      </c>
      <c r="B39">
        <v>10</v>
      </c>
      <c r="C39" s="1">
        <v>1.1999999999999999E-3</v>
      </c>
      <c r="D39" s="1"/>
      <c r="E39" s="3">
        <v>163906</v>
      </c>
      <c r="F39" s="1">
        <v>1.1999999999999999E-3</v>
      </c>
      <c r="H39" s="6">
        <f t="shared" si="0"/>
        <v>163083.14425698397</v>
      </c>
      <c r="I39" s="6">
        <f t="shared" si="1"/>
        <v>163268.86500483469</v>
      </c>
    </row>
    <row r="40" spans="1:9" x14ac:dyDescent="0.25">
      <c r="A40">
        <v>2008</v>
      </c>
      <c r="B40">
        <v>11</v>
      </c>
      <c r="C40" s="1">
        <v>1.8E-3</v>
      </c>
      <c r="D40" s="1"/>
      <c r="E40" s="3">
        <v>160873</v>
      </c>
      <c r="F40" s="1">
        <v>1.8E-3</v>
      </c>
      <c r="H40" s="6">
        <f t="shared" si="0"/>
        <v>159935.86500483469</v>
      </c>
      <c r="I40" s="6">
        <f t="shared" si="1"/>
        <v>160209.06989604692</v>
      </c>
    </row>
    <row r="41" spans="1:9" x14ac:dyDescent="0.25">
      <c r="A41">
        <v>2008</v>
      </c>
      <c r="B41">
        <v>12</v>
      </c>
      <c r="C41" s="1">
        <v>1.3899999999999999E-2</v>
      </c>
      <c r="D41" s="1"/>
      <c r="E41" s="3">
        <v>159773</v>
      </c>
      <c r="F41" s="1">
        <v>1.3899999999999999E-2</v>
      </c>
      <c r="H41" s="6">
        <f t="shared" si="0"/>
        <v>156876.06989604692</v>
      </c>
      <c r="I41" s="6">
        <f t="shared" si="1"/>
        <v>158945.45635347167</v>
      </c>
    </row>
    <row r="42" spans="1:9" x14ac:dyDescent="0.25">
      <c r="A42">
        <v>2009</v>
      </c>
      <c r="B42">
        <v>1</v>
      </c>
      <c r="C42" s="1">
        <v>3.73E-2</v>
      </c>
      <c r="D42" s="1"/>
      <c r="E42" s="3">
        <v>162402</v>
      </c>
      <c r="F42" s="1">
        <v>3.73E-2</v>
      </c>
      <c r="H42" s="6">
        <f t="shared" si="0"/>
        <v>155612.45635347167</v>
      </c>
      <c r="I42" s="6">
        <f t="shared" si="1"/>
        <v>161120.82872844278</v>
      </c>
    </row>
    <row r="43" spans="1:9" x14ac:dyDescent="0.25">
      <c r="A43">
        <v>2009</v>
      </c>
      <c r="B43">
        <v>2</v>
      </c>
      <c r="C43" s="1">
        <v>-4.5999999999999999E-3</v>
      </c>
      <c r="D43" s="1"/>
      <c r="E43" s="3">
        <v>158327</v>
      </c>
      <c r="F43" s="108">
        <v>-4.5999999999999999E-3</v>
      </c>
      <c r="H43" s="6">
        <f t="shared" si="0"/>
        <v>157787.82872844278</v>
      </c>
      <c r="I43" s="6">
        <f>H43+(H43*C43)</f>
        <v>157062.00471629194</v>
      </c>
    </row>
    <row r="44" spans="1:9" x14ac:dyDescent="0.25">
      <c r="A44">
        <v>2009</v>
      </c>
      <c r="B44">
        <v>3</v>
      </c>
      <c r="C44" s="1">
        <v>-2E-3</v>
      </c>
      <c r="D44" s="1"/>
      <c r="E44" s="3">
        <v>154680</v>
      </c>
      <c r="F44" s="108">
        <v>-2E-3</v>
      </c>
      <c r="H44" s="6">
        <f t="shared" si="0"/>
        <v>153729.00471629194</v>
      </c>
      <c r="I44" s="6">
        <f>H44+(H44*C44)</f>
        <v>153421.54670685934</v>
      </c>
    </row>
    <row r="45" spans="1:9" x14ac:dyDescent="0.25">
      <c r="A45">
        <v>2009</v>
      </c>
      <c r="B45">
        <v>4</v>
      </c>
      <c r="C45" s="1">
        <v>1.7899999999999999E-2</v>
      </c>
      <c r="D45" s="1"/>
      <c r="E45" s="3">
        <v>154121</v>
      </c>
      <c r="F45" s="1">
        <v>1.7899999999999999E-2</v>
      </c>
      <c r="H45" s="6">
        <f t="shared" si="0"/>
        <v>150088.54670685934</v>
      </c>
      <c r="I45" s="6">
        <f t="shared" ref="I45:I61" si="2">H45+(H45*(C45-C45*$K$28))</f>
        <v>152638.13869079045</v>
      </c>
    </row>
    <row r="46" spans="1:9" x14ac:dyDescent="0.25">
      <c r="A46">
        <v>2009</v>
      </c>
      <c r="B46">
        <v>5</v>
      </c>
      <c r="C46" s="1">
        <v>8.6E-3</v>
      </c>
      <c r="D46" s="1"/>
      <c r="E46" s="3">
        <v>152119</v>
      </c>
      <c r="F46" s="1">
        <v>8.6E-3</v>
      </c>
      <c r="H46" s="6">
        <f t="shared" si="0"/>
        <v>149305.13869079045</v>
      </c>
      <c r="I46" s="6">
        <f t="shared" si="2"/>
        <v>150523.68856208838</v>
      </c>
    </row>
    <row r="47" spans="1:9" x14ac:dyDescent="0.25">
      <c r="A47">
        <v>2009</v>
      </c>
      <c r="B47">
        <v>6</v>
      </c>
      <c r="C47" s="1">
        <v>-9.7000000000000003E-3</v>
      </c>
      <c r="D47" s="1"/>
      <c r="E47" s="3">
        <v>147313</v>
      </c>
      <c r="F47" s="108">
        <v>-9.7000000000000003E-3</v>
      </c>
      <c r="H47" s="6">
        <f t="shared" si="0"/>
        <v>147190.68856208838</v>
      </c>
      <c r="I47" s="6">
        <f>H47+(H47*C47)</f>
        <v>145762.93888303611</v>
      </c>
    </row>
    <row r="48" spans="1:9" x14ac:dyDescent="0.25">
      <c r="A48">
        <v>2009</v>
      </c>
      <c r="B48">
        <v>7</v>
      </c>
      <c r="C48" s="1">
        <v>1.7899999999999999E-2</v>
      </c>
      <c r="D48" s="1"/>
      <c r="E48" s="3">
        <v>146615</v>
      </c>
      <c r="F48" s="1">
        <v>1.7899999999999999E-2</v>
      </c>
      <c r="H48" s="6">
        <f t="shared" si="0"/>
        <v>142429.93888303611</v>
      </c>
      <c r="I48" s="6">
        <f t="shared" si="2"/>
        <v>144849.43216494014</v>
      </c>
    </row>
    <row r="49" spans="1:9" x14ac:dyDescent="0.25">
      <c r="A49">
        <v>2009</v>
      </c>
      <c r="B49">
        <v>8</v>
      </c>
      <c r="C49" s="1">
        <v>1.23E-2</v>
      </c>
      <c r="D49" s="1"/>
      <c r="E49" s="3">
        <v>145091</v>
      </c>
      <c r="F49" s="1">
        <v>1.23E-2</v>
      </c>
      <c r="H49" s="6">
        <f t="shared" si="0"/>
        <v>141516.43216494014</v>
      </c>
      <c r="I49" s="6">
        <f t="shared" si="2"/>
        <v>143168.3258157493</v>
      </c>
    </row>
    <row r="50" spans="1:9" x14ac:dyDescent="0.25">
      <c r="A50">
        <v>2009</v>
      </c>
      <c r="B50">
        <v>9</v>
      </c>
      <c r="C50" s="1">
        <v>0.03</v>
      </c>
      <c r="D50" s="1"/>
      <c r="E50" s="3">
        <v>146116</v>
      </c>
      <c r="F50" s="1">
        <v>0.03</v>
      </c>
      <c r="H50" s="6">
        <f t="shared" si="0"/>
        <v>139835.3258157493</v>
      </c>
      <c r="I50" s="6">
        <f t="shared" si="2"/>
        <v>143816.47319378974</v>
      </c>
    </row>
    <row r="51" spans="1:9" x14ac:dyDescent="0.25">
      <c r="A51">
        <v>2009</v>
      </c>
      <c r="B51">
        <v>10</v>
      </c>
      <c r="C51" s="1">
        <v>-2.1700000000000001E-2</v>
      </c>
      <c r="D51" s="1"/>
      <c r="E51" s="3">
        <v>139610</v>
      </c>
      <c r="F51" s="108">
        <v>-2.1700000000000001E-2</v>
      </c>
      <c r="H51" s="6">
        <f t="shared" si="0"/>
        <v>140483.47319378974</v>
      </c>
      <c r="I51" s="6">
        <f>H51+(H51*C51)</f>
        <v>137434.98182548452</v>
      </c>
    </row>
    <row r="52" spans="1:9" x14ac:dyDescent="0.25">
      <c r="A52">
        <v>2009</v>
      </c>
      <c r="B52">
        <v>11</v>
      </c>
      <c r="C52" s="1">
        <v>1.1299999999999999E-2</v>
      </c>
      <c r="D52" s="1"/>
      <c r="E52" s="3">
        <v>137852</v>
      </c>
      <c r="F52" s="1">
        <v>1.1299999999999999E-2</v>
      </c>
      <c r="H52" s="6">
        <f t="shared" si="0"/>
        <v>134101.98182548452</v>
      </c>
      <c r="I52" s="6">
        <f t="shared" si="2"/>
        <v>135540.06412633543</v>
      </c>
    </row>
    <row r="53" spans="1:9" x14ac:dyDescent="0.25">
      <c r="A53">
        <v>2009</v>
      </c>
      <c r="B53">
        <v>12</v>
      </c>
      <c r="C53" s="1">
        <v>1.6999999999999999E-3</v>
      </c>
      <c r="D53" s="1"/>
      <c r="E53" s="3">
        <v>134755</v>
      </c>
      <c r="F53" s="1">
        <v>1.6999999999999999E-3</v>
      </c>
      <c r="H53" s="6">
        <f t="shared" si="0"/>
        <v>132207.06412633543</v>
      </c>
      <c r="I53" s="6">
        <f t="shared" si="2"/>
        <v>132420.35569296419</v>
      </c>
    </row>
    <row r="54" spans="1:9" x14ac:dyDescent="0.25">
      <c r="A54">
        <v>2010</v>
      </c>
      <c r="B54">
        <v>1</v>
      </c>
      <c r="C54" s="1">
        <v>5.4000000000000003E-3</v>
      </c>
      <c r="D54" s="1"/>
      <c r="E54" s="3">
        <v>132150</v>
      </c>
      <c r="F54" s="1">
        <v>5.4000000000000003E-3</v>
      </c>
      <c r="H54" s="6">
        <f t="shared" si="0"/>
        <v>129087.35569296419</v>
      </c>
      <c r="I54" s="6">
        <f t="shared" si="2"/>
        <v>129748.88268007063</v>
      </c>
    </row>
    <row r="55" spans="1:9" x14ac:dyDescent="0.25">
      <c r="A55">
        <v>2010</v>
      </c>
      <c r="B55">
        <v>2</v>
      </c>
      <c r="C55" s="1">
        <v>9.4999999999999998E-3</v>
      </c>
      <c r="D55" s="1"/>
      <c r="E55" s="3">
        <v>130073</v>
      </c>
      <c r="F55" s="1">
        <v>9.4999999999999998E-3</v>
      </c>
      <c r="H55" s="6">
        <f t="shared" si="0"/>
        <v>126415.88268007063</v>
      </c>
      <c r="I55" s="6">
        <f t="shared" si="2"/>
        <v>127555.59527675428</v>
      </c>
    </row>
    <row r="56" spans="1:9" x14ac:dyDescent="0.25">
      <c r="A56">
        <v>2010</v>
      </c>
      <c r="B56">
        <v>3</v>
      </c>
      <c r="C56" s="1">
        <v>-7.1999999999999998E-3</v>
      </c>
      <c r="D56" s="1"/>
      <c r="E56" s="3">
        <v>125806</v>
      </c>
      <c r="F56" s="108">
        <v>-7.1999999999999998E-3</v>
      </c>
      <c r="H56" s="6">
        <f t="shared" si="0"/>
        <v>124222.59527675428</v>
      </c>
      <c r="I56" s="6">
        <f>H56+(H56*C56)</f>
        <v>123328.19259076164</v>
      </c>
    </row>
    <row r="57" spans="1:9" x14ac:dyDescent="0.25">
      <c r="A57">
        <v>2010</v>
      </c>
      <c r="B57">
        <v>4</v>
      </c>
      <c r="C57" s="1">
        <v>1.0500000000000001E-2</v>
      </c>
      <c r="D57" s="1"/>
      <c r="E57" s="3">
        <v>123792</v>
      </c>
      <c r="F57" s="1">
        <v>1.0500000000000001E-2</v>
      </c>
      <c r="H57" s="6">
        <f t="shared" si="0"/>
        <v>119995.19259076164</v>
      </c>
      <c r="I57" s="6">
        <f t="shared" si="2"/>
        <v>121190.8953951186</v>
      </c>
    </row>
    <row r="58" spans="1:9" x14ac:dyDescent="0.25">
      <c r="A58">
        <v>2010</v>
      </c>
      <c r="B58">
        <v>5</v>
      </c>
      <c r="C58" s="1">
        <v>7.6E-3</v>
      </c>
      <c r="D58" s="1"/>
      <c r="E58" s="3">
        <v>121395</v>
      </c>
      <c r="F58" s="1">
        <v>7.6E-3</v>
      </c>
      <c r="H58" s="6">
        <f t="shared" si="0"/>
        <v>117857.8953951186</v>
      </c>
      <c r="I58" s="6">
        <f t="shared" si="2"/>
        <v>118707.94129221767</v>
      </c>
    </row>
    <row r="59" spans="1:9" x14ac:dyDescent="0.25">
      <c r="A59">
        <v>2010</v>
      </c>
      <c r="B59">
        <v>6</v>
      </c>
      <c r="C59" s="1">
        <v>1E-4</v>
      </c>
      <c r="D59" s="1"/>
      <c r="E59" s="3">
        <v>118068</v>
      </c>
      <c r="F59" s="1">
        <v>1E-4</v>
      </c>
      <c r="H59" s="6">
        <f t="shared" si="0"/>
        <v>115374.94129221767</v>
      </c>
      <c r="I59" s="6">
        <f t="shared" si="2"/>
        <v>115385.89047219866</v>
      </c>
    </row>
    <row r="60" spans="1:9" x14ac:dyDescent="0.25">
      <c r="A60">
        <v>2010</v>
      </c>
      <c r="B60">
        <v>7</v>
      </c>
      <c r="C60" s="1">
        <v>1.34E-2</v>
      </c>
      <c r="D60" s="1"/>
      <c r="E60" s="3">
        <v>116314</v>
      </c>
      <c r="F60" s="1">
        <v>1.34E-2</v>
      </c>
      <c r="H60" s="6">
        <f t="shared" si="0"/>
        <v>112052.89047219866</v>
      </c>
      <c r="I60" s="6">
        <f t="shared" si="2"/>
        <v>113477.83501987487</v>
      </c>
    </row>
    <row r="61" spans="1:9" x14ac:dyDescent="0.25">
      <c r="A61">
        <v>2010</v>
      </c>
      <c r="B61">
        <v>8</v>
      </c>
      <c r="C61" s="1">
        <v>2.3400000000000001E-2</v>
      </c>
      <c r="D61" s="1"/>
      <c r="E61" s="3">
        <v>115706</v>
      </c>
      <c r="F61" s="1">
        <v>2.3400000000000001E-2</v>
      </c>
      <c r="H61" s="6">
        <f t="shared" si="0"/>
        <v>110144.83501987487</v>
      </c>
      <c r="I61" s="6">
        <f t="shared" si="2"/>
        <v>112590.79921738421</v>
      </c>
    </row>
    <row r="62" spans="1:9" x14ac:dyDescent="0.25">
      <c r="A62">
        <v>2010</v>
      </c>
      <c r="B62">
        <v>9</v>
      </c>
      <c r="C62" s="1">
        <v>-4.3E-3</v>
      </c>
      <c r="D62" s="1"/>
      <c r="E62" s="3">
        <v>111874</v>
      </c>
      <c r="F62" s="108">
        <v>-4.3E-3</v>
      </c>
      <c r="H62" s="6">
        <f t="shared" si="0"/>
        <v>109257.79921738421</v>
      </c>
      <c r="I62" s="6">
        <f>H62+(H62*C62)</f>
        <v>108787.99068074946</v>
      </c>
    </row>
    <row r="63" spans="1:9" x14ac:dyDescent="0.25">
      <c r="A63">
        <v>2010</v>
      </c>
      <c r="B63">
        <v>10</v>
      </c>
      <c r="C63" s="1">
        <v>-3.5000000000000001E-3</v>
      </c>
      <c r="D63" s="1"/>
      <c r="E63" s="3">
        <v>108144</v>
      </c>
      <c r="F63" s="108">
        <v>-3.5000000000000001E-3</v>
      </c>
      <c r="H63" s="6">
        <f t="shared" si="0"/>
        <v>105454.99068074946</v>
      </c>
      <c r="I63" s="6">
        <f t="shared" ref="I63:I68" si="3">H63+(H63*C63)</f>
        <v>105085.89821336683</v>
      </c>
    </row>
    <row r="64" spans="1:9" x14ac:dyDescent="0.25">
      <c r="A64">
        <v>2010</v>
      </c>
      <c r="B64">
        <v>11</v>
      </c>
      <c r="C64" s="1">
        <v>-1.7399999999999999E-2</v>
      </c>
      <c r="D64" s="1"/>
      <c r="E64" s="3">
        <v>102926</v>
      </c>
      <c r="F64" s="108">
        <v>-1.7399999999999999E-2</v>
      </c>
      <c r="H64" s="6">
        <f t="shared" si="0"/>
        <v>101752.89821336683</v>
      </c>
      <c r="I64" s="6">
        <f t="shared" si="3"/>
        <v>99982.397784454253</v>
      </c>
    </row>
    <row r="65" spans="1:9" x14ac:dyDescent="0.25">
      <c r="A65">
        <v>2010</v>
      </c>
      <c r="B65">
        <v>12</v>
      </c>
      <c r="C65" s="1">
        <v>-1.54E-2</v>
      </c>
      <c r="D65" s="1"/>
      <c r="E65" s="3">
        <v>98008</v>
      </c>
      <c r="F65" s="108">
        <v>-1.54E-2</v>
      </c>
      <c r="H65" s="6">
        <f t="shared" si="0"/>
        <v>96649.397784454253</v>
      </c>
      <c r="I65" s="6">
        <f t="shared" si="3"/>
        <v>95160.997058573659</v>
      </c>
    </row>
    <row r="66" spans="1:9" x14ac:dyDescent="0.25">
      <c r="A66">
        <v>2011</v>
      </c>
      <c r="B66">
        <v>1</v>
      </c>
      <c r="C66" s="1">
        <v>-6.6E-3</v>
      </c>
      <c r="D66" s="1"/>
      <c r="E66" s="3">
        <v>94032</v>
      </c>
      <c r="F66" s="108">
        <v>-6.6E-3</v>
      </c>
      <c r="H66" s="6">
        <f t="shared" si="0"/>
        <v>91827.997058573659</v>
      </c>
      <c r="I66" s="6">
        <f t="shared" si="3"/>
        <v>91221.932277987071</v>
      </c>
    </row>
    <row r="67" spans="1:9" x14ac:dyDescent="0.25">
      <c r="A67">
        <v>2011</v>
      </c>
      <c r="B67">
        <v>2</v>
      </c>
      <c r="C67" s="1">
        <v>1.5100000000000001E-2</v>
      </c>
      <c r="D67" s="1"/>
      <c r="E67" s="3">
        <v>92122</v>
      </c>
      <c r="F67" s="1">
        <v>1.5100000000000001E-2</v>
      </c>
      <c r="H67" s="6">
        <f t="shared" si="0"/>
        <v>87888.932277987071</v>
      </c>
      <c r="I67" s="6">
        <f t="shared" ref="I67:I78" si="4">H67+(H67*(C67-C67*$K$28))</f>
        <v>89148.383167302076</v>
      </c>
    </row>
    <row r="68" spans="1:9" x14ac:dyDescent="0.25">
      <c r="A68">
        <v>2011</v>
      </c>
      <c r="B68">
        <v>3</v>
      </c>
      <c r="C68" s="1">
        <v>-2.8E-3</v>
      </c>
      <c r="D68" s="1"/>
      <c r="E68" s="3">
        <v>88533</v>
      </c>
      <c r="F68" s="108">
        <v>-2.8E-3</v>
      </c>
      <c r="H68" s="6">
        <f t="shared" si="0"/>
        <v>85815.383167302076</v>
      </c>
      <c r="I68" s="6">
        <f t="shared" si="3"/>
        <v>85575.100094433627</v>
      </c>
    </row>
    <row r="69" spans="1:9" x14ac:dyDescent="0.25">
      <c r="A69">
        <v>2011</v>
      </c>
      <c r="B69">
        <v>4</v>
      </c>
      <c r="C69" s="1">
        <v>1.6E-2</v>
      </c>
      <c r="D69" s="1"/>
      <c r="E69" s="3">
        <v>86617</v>
      </c>
      <c r="F69" s="1">
        <v>1.6E-2</v>
      </c>
      <c r="H69" s="6">
        <f t="shared" si="0"/>
        <v>82242.100094433627</v>
      </c>
      <c r="I69" s="6">
        <f t="shared" si="4"/>
        <v>83490.875325329282</v>
      </c>
    </row>
    <row r="70" spans="1:9" x14ac:dyDescent="0.25">
      <c r="A70">
        <v>2011</v>
      </c>
      <c r="B70">
        <v>5</v>
      </c>
      <c r="C70" s="1">
        <v>1.5100000000000001E-2</v>
      </c>
      <c r="D70" s="1"/>
      <c r="E70" s="3">
        <v>84593</v>
      </c>
      <c r="F70" s="1">
        <v>1.5100000000000001E-2</v>
      </c>
      <c r="H70" s="6">
        <f t="shared" si="0"/>
        <v>80157.875325329282</v>
      </c>
      <c r="I70" s="6">
        <f t="shared" si="4"/>
        <v>81306.539949502592</v>
      </c>
    </row>
    <row r="71" spans="1:9" x14ac:dyDescent="0.25">
      <c r="A71">
        <v>2011</v>
      </c>
      <c r="B71">
        <v>6</v>
      </c>
      <c r="C71" s="1">
        <v>3.0000000000000001E-3</v>
      </c>
      <c r="D71" s="1"/>
      <c r="E71" s="3">
        <v>81515</v>
      </c>
      <c r="F71" s="1">
        <v>3.0000000000000001E-3</v>
      </c>
      <c r="H71" s="6">
        <f t="shared" si="0"/>
        <v>77973.539949502592</v>
      </c>
      <c r="I71" s="6">
        <f t="shared" si="4"/>
        <v>78195.532605732762</v>
      </c>
    </row>
    <row r="72" spans="1:9" x14ac:dyDescent="0.25">
      <c r="A72">
        <v>2011</v>
      </c>
      <c r="B72">
        <v>7</v>
      </c>
      <c r="C72" s="1">
        <v>9.7000000000000003E-3</v>
      </c>
      <c r="D72" s="1"/>
      <c r="E72" s="3">
        <v>78974</v>
      </c>
      <c r="F72" s="1">
        <v>9.7000000000000003E-3</v>
      </c>
      <c r="H72" s="6">
        <f t="shared" si="0"/>
        <v>74862.532605732762</v>
      </c>
      <c r="I72" s="6">
        <f t="shared" si="4"/>
        <v>75551.670848515569</v>
      </c>
    </row>
    <row r="73" spans="1:9" x14ac:dyDescent="0.25">
      <c r="A73">
        <v>2011</v>
      </c>
      <c r="B73">
        <v>8</v>
      </c>
      <c r="C73" s="1">
        <v>1.4E-2</v>
      </c>
      <c r="D73" s="1"/>
      <c r="E73" s="3">
        <v>76750</v>
      </c>
      <c r="F73" s="1">
        <v>1.4E-2</v>
      </c>
      <c r="H73" s="6">
        <f t="shared" si="0"/>
        <v>72218.670848515569</v>
      </c>
      <c r="I73" s="6">
        <f t="shared" si="4"/>
        <v>73178.176701998673</v>
      </c>
    </row>
    <row r="74" spans="1:9" x14ac:dyDescent="0.25">
      <c r="A74">
        <v>2011</v>
      </c>
      <c r="B74">
        <v>9</v>
      </c>
      <c r="C74" s="1">
        <v>6.4999999999999997E-3</v>
      </c>
      <c r="D74" s="1"/>
      <c r="E74" s="3">
        <v>73915</v>
      </c>
      <c r="F74" s="1">
        <v>6.4999999999999997E-3</v>
      </c>
      <c r="H74" s="6">
        <f t="shared" si="0"/>
        <v>69845.176701998673</v>
      </c>
      <c r="I74" s="6">
        <f t="shared" si="4"/>
        <v>70276.020532787908</v>
      </c>
    </row>
    <row r="75" spans="1:9" x14ac:dyDescent="0.25">
      <c r="A75">
        <v>2011</v>
      </c>
      <c r="B75">
        <v>10</v>
      </c>
      <c r="C75" s="1">
        <v>-3.5999999999999999E-3</v>
      </c>
      <c r="D75" s="1"/>
      <c r="E75" s="3">
        <v>70318</v>
      </c>
      <c r="F75" s="108">
        <v>-3.5999999999999999E-3</v>
      </c>
      <c r="H75" s="6">
        <f t="shared" si="0"/>
        <v>66943.020532787908</v>
      </c>
      <c r="I75" s="6">
        <f t="shared" ref="I75" si="5">H75+(H75*C75)</f>
        <v>66702.025658869868</v>
      </c>
    </row>
    <row r="76" spans="1:9" x14ac:dyDescent="0.25">
      <c r="A76">
        <v>2011</v>
      </c>
      <c r="B76">
        <v>11</v>
      </c>
      <c r="C76" s="1">
        <v>6.4999999999999997E-3</v>
      </c>
      <c r="D76" s="1"/>
      <c r="E76" s="3">
        <v>67440</v>
      </c>
      <c r="F76" s="1">
        <v>6.4999999999999997E-3</v>
      </c>
      <c r="H76" s="6">
        <f t="shared" si="0"/>
        <v>63369.025658869868</v>
      </c>
      <c r="I76" s="6">
        <f t="shared" si="4"/>
        <v>63759.92099420185</v>
      </c>
    </row>
    <row r="77" spans="1:9" x14ac:dyDescent="0.25">
      <c r="A77">
        <v>2011</v>
      </c>
      <c r="B77">
        <v>12</v>
      </c>
      <c r="C77" s="1">
        <v>1.9599999999999999E-2</v>
      </c>
      <c r="D77" s="1"/>
      <c r="E77" s="3">
        <v>65426</v>
      </c>
      <c r="F77" s="1">
        <v>1.9599999999999999E-2</v>
      </c>
      <c r="H77" s="6">
        <f t="shared" si="0"/>
        <v>60426.92099420185</v>
      </c>
      <c r="I77" s="6">
        <f t="shared" si="4"/>
        <v>61550.895960909867</v>
      </c>
    </row>
    <row r="78" spans="1:9" x14ac:dyDescent="0.25">
      <c r="A78" s="18">
        <v>2012</v>
      </c>
      <c r="B78" s="18">
        <v>1</v>
      </c>
      <c r="C78" s="19">
        <v>2.1999999999999999E-2</v>
      </c>
      <c r="D78" s="19"/>
      <c r="E78" s="27">
        <v>63535</v>
      </c>
      <c r="F78" s="19">
        <v>2.1999999999999999E-2</v>
      </c>
      <c r="H78" s="6">
        <f t="shared" si="0"/>
        <v>58217.895960909867</v>
      </c>
      <c r="I78" s="6">
        <f t="shared" si="4"/>
        <v>59433.38007771413</v>
      </c>
    </row>
    <row r="79" spans="1:9" x14ac:dyDescent="0.25">
      <c r="A79">
        <v>2012</v>
      </c>
      <c r="B79">
        <v>2</v>
      </c>
      <c r="C79" s="1">
        <v>-2.9999999999999997E-4</v>
      </c>
      <c r="D79" s="1"/>
      <c r="E79" s="3">
        <v>60184</v>
      </c>
      <c r="F79" s="108">
        <v>-2.9999999999999997E-4</v>
      </c>
      <c r="H79" s="6">
        <f t="shared" si="0"/>
        <v>56100.38007771413</v>
      </c>
      <c r="I79" s="6">
        <f t="shared" ref="I79:I80" si="6">H79+(H79*C79)</f>
        <v>56083.549963690813</v>
      </c>
    </row>
    <row r="80" spans="1:9" x14ac:dyDescent="0.25">
      <c r="A80">
        <v>2012</v>
      </c>
      <c r="B80">
        <v>3</v>
      </c>
      <c r="C80" s="1">
        <v>-9.1999999999999998E-3</v>
      </c>
      <c r="D80" s="1"/>
      <c r="E80" s="3">
        <v>56295</v>
      </c>
      <c r="F80" s="108">
        <v>-9.1999999999999998E-3</v>
      </c>
      <c r="H80" s="6">
        <f t="shared" si="0"/>
        <v>52750.549963690813</v>
      </c>
      <c r="I80" s="6">
        <f t="shared" si="6"/>
        <v>52265.244904024861</v>
      </c>
    </row>
    <row r="81" spans="1:9" x14ac:dyDescent="0.25">
      <c r="A81">
        <v>2012</v>
      </c>
      <c r="B81">
        <v>4</v>
      </c>
      <c r="C81" s="1">
        <v>1.12E-2</v>
      </c>
      <c r="D81" s="1"/>
      <c r="E81" s="3">
        <v>53590</v>
      </c>
      <c r="F81" s="1">
        <v>1.12E-2</v>
      </c>
      <c r="H81" s="6">
        <f t="shared" si="0"/>
        <v>48932.244904024861</v>
      </c>
      <c r="I81" s="6">
        <f t="shared" ref="I81:I88" si="7">H81+(H81*(C81-C81*$K$28))</f>
        <v>49452.340606234211</v>
      </c>
    </row>
    <row r="82" spans="1:9" x14ac:dyDescent="0.25">
      <c r="A82">
        <v>2012</v>
      </c>
      <c r="B82">
        <v>5</v>
      </c>
      <c r="C82" s="1">
        <v>6.8999999999999999E-3</v>
      </c>
      <c r="D82" s="1"/>
      <c r="E82" s="3">
        <v>50626</v>
      </c>
      <c r="F82" s="1">
        <v>6.8999999999999999E-3</v>
      </c>
      <c r="H82" s="6">
        <f t="shared" si="0"/>
        <v>46119.340606234211</v>
      </c>
      <c r="I82" s="6">
        <f t="shared" si="7"/>
        <v>46421.337364906482</v>
      </c>
    </row>
    <row r="83" spans="1:9" x14ac:dyDescent="0.25">
      <c r="A83">
        <v>2012</v>
      </c>
      <c r="B83">
        <v>6</v>
      </c>
      <c r="C83" s="1">
        <v>-1.6999999999999999E-3</v>
      </c>
      <c r="D83" s="1"/>
      <c r="E83" s="3">
        <v>47208</v>
      </c>
      <c r="F83" s="108">
        <v>-1.6999999999999999E-3</v>
      </c>
      <c r="H83" s="6">
        <f t="shared" si="0"/>
        <v>43088.337364906482</v>
      </c>
      <c r="I83" s="6">
        <f t="shared" ref="I83" si="8">H83+(H83*C83)</f>
        <v>43015.087191386141</v>
      </c>
    </row>
    <row r="84" spans="1:9" x14ac:dyDescent="0.25">
      <c r="A84">
        <v>2012</v>
      </c>
      <c r="B84">
        <v>7</v>
      </c>
      <c r="C84" s="1">
        <v>1.3899999999999999E-2</v>
      </c>
      <c r="D84" s="1"/>
      <c r="E84" s="3">
        <v>44530</v>
      </c>
      <c r="F84" s="1">
        <v>1.3899999999999999E-2</v>
      </c>
      <c r="H84" s="6">
        <f t="shared" si="0"/>
        <v>39682.087191386141</v>
      </c>
      <c r="I84" s="6">
        <f t="shared" si="7"/>
        <v>40205.542259393762</v>
      </c>
    </row>
    <row r="85" spans="1:9" x14ac:dyDescent="0.25">
      <c r="A85">
        <v>2012</v>
      </c>
      <c r="B85">
        <v>8</v>
      </c>
      <c r="C85" s="1">
        <v>1.8E-3</v>
      </c>
      <c r="D85" s="1"/>
      <c r="E85" s="3">
        <v>41279</v>
      </c>
      <c r="F85" s="1">
        <v>1.8E-3</v>
      </c>
      <c r="H85" s="6">
        <f t="shared" si="0"/>
        <v>36872.542259393762</v>
      </c>
      <c r="I85" s="6">
        <f t="shared" si="7"/>
        <v>36935.528500137145</v>
      </c>
    </row>
    <row r="86" spans="1:9" x14ac:dyDescent="0.25">
      <c r="A86">
        <v>2012</v>
      </c>
      <c r="B86">
        <v>9</v>
      </c>
      <c r="C86" s="1">
        <v>6.6E-3</v>
      </c>
      <c r="D86" s="1"/>
      <c r="E86" s="3">
        <v>38220</v>
      </c>
      <c r="F86" s="1">
        <v>6.6E-3</v>
      </c>
      <c r="H86" s="6">
        <f t="shared" si="0"/>
        <v>33602.528500137145</v>
      </c>
      <c r="I86" s="6">
        <f t="shared" si="7"/>
        <v>33812.99646193262</v>
      </c>
    </row>
    <row r="87" spans="1:9" x14ac:dyDescent="0.25">
      <c r="A87">
        <v>2012</v>
      </c>
      <c r="B87">
        <v>10</v>
      </c>
      <c r="C87" s="1">
        <v>1.8E-3</v>
      </c>
      <c r="D87" s="1"/>
      <c r="E87" s="3">
        <v>34957</v>
      </c>
      <c r="F87" s="1">
        <v>1.8E-3</v>
      </c>
      <c r="H87" s="6">
        <f t="shared" si="0"/>
        <v>30479.99646193262</v>
      </c>
      <c r="I87" s="6">
        <f t="shared" si="7"/>
        <v>30532.062858155128</v>
      </c>
    </row>
    <row r="88" spans="1:9" x14ac:dyDescent="0.25">
      <c r="A88">
        <v>2012</v>
      </c>
      <c r="B88">
        <v>11</v>
      </c>
      <c r="C88" s="1">
        <v>1.49E-2</v>
      </c>
      <c r="D88" s="1"/>
      <c r="E88" s="3">
        <v>32146</v>
      </c>
      <c r="F88" s="1">
        <v>1.49E-2</v>
      </c>
      <c r="H88" s="6">
        <f t="shared" si="0"/>
        <v>27199.062858155128</v>
      </c>
      <c r="I88" s="6">
        <f t="shared" si="7"/>
        <v>27583.663771063006</v>
      </c>
    </row>
    <row r="89" spans="1:9" x14ac:dyDescent="0.25">
      <c r="A89" s="10">
        <v>2012</v>
      </c>
      <c r="B89" s="10">
        <v>12</v>
      </c>
      <c r="C89" s="11">
        <v>-1.1900000000000001E-2</v>
      </c>
      <c r="D89" s="11"/>
      <c r="E89" s="14">
        <v>28429</v>
      </c>
      <c r="F89" s="11">
        <v>-1.1900000000000001E-2</v>
      </c>
      <c r="H89" s="6">
        <f t="shared" si="0"/>
        <v>24250.663771063006</v>
      </c>
      <c r="I89" s="109">
        <f t="shared" ref="I89" si="9">H89+(H89*C89)</f>
        <v>23962.080872187355</v>
      </c>
    </row>
    <row r="90" spans="1:9" x14ac:dyDescent="0.25">
      <c r="C90" s="1"/>
      <c r="D90" s="1"/>
      <c r="E90" s="3"/>
      <c r="F90" s="1"/>
    </row>
    <row r="91" spans="1:9" x14ac:dyDescent="0.25">
      <c r="A91" t="s">
        <v>36</v>
      </c>
      <c r="C91" s="1"/>
      <c r="D91" s="1"/>
      <c r="E91" s="3"/>
      <c r="F91" s="1"/>
    </row>
    <row r="93" spans="1:9" x14ac:dyDescent="0.25">
      <c r="A93" t="s">
        <v>0</v>
      </c>
      <c r="B93" t="s">
        <v>18</v>
      </c>
      <c r="C93" t="s">
        <v>2</v>
      </c>
      <c r="E93" t="s">
        <v>3</v>
      </c>
      <c r="F93" t="s">
        <v>35</v>
      </c>
    </row>
    <row r="94" spans="1:9" x14ac:dyDescent="0.25">
      <c r="A94" t="s">
        <v>20</v>
      </c>
      <c r="G94" t="s">
        <v>141</v>
      </c>
      <c r="H94">
        <v>200000</v>
      </c>
    </row>
    <row r="95" spans="1:9" x14ac:dyDescent="0.25">
      <c r="G95" t="s">
        <v>142</v>
      </c>
      <c r="H95">
        <v>3333</v>
      </c>
    </row>
    <row r="96" spans="1:9" x14ac:dyDescent="0.25">
      <c r="A96">
        <v>2015</v>
      </c>
      <c r="B96">
        <v>1</v>
      </c>
      <c r="C96" s="1">
        <v>1.5100000000000001E-2</v>
      </c>
      <c r="D96" s="1"/>
      <c r="E96" s="3">
        <v>199687</v>
      </c>
      <c r="F96" s="1">
        <v>1.5100000000000001E-2</v>
      </c>
      <c r="H96">
        <f>(H94-$H$95)</f>
        <v>196667</v>
      </c>
      <c r="I96" s="6">
        <f t="shared" ref="I96:I98" si="10">H96+(H96*(C96-C96*$K$28))</f>
        <v>199485.24368130311</v>
      </c>
    </row>
    <row r="97" spans="1:9" x14ac:dyDescent="0.25">
      <c r="A97">
        <v>2015</v>
      </c>
      <c r="B97">
        <v>2</v>
      </c>
      <c r="C97" s="1">
        <v>-9.5999999999999992E-3</v>
      </c>
      <c r="D97" s="1"/>
      <c r="E97" s="3">
        <v>194445</v>
      </c>
      <c r="F97" s="108">
        <v>-9.5999999999999992E-3</v>
      </c>
      <c r="H97" s="6">
        <f>(I96-$H$95)</f>
        <v>196152.24368130311</v>
      </c>
      <c r="I97" s="6">
        <f>H97+(H97*C97)</f>
        <v>194269.18214196261</v>
      </c>
    </row>
    <row r="98" spans="1:9" x14ac:dyDescent="0.25">
      <c r="A98">
        <v>2015</v>
      </c>
      <c r="B98">
        <v>3</v>
      </c>
      <c r="C98" s="1">
        <v>2.5000000000000001E-3</v>
      </c>
      <c r="D98" s="1"/>
      <c r="E98" s="3">
        <v>191601</v>
      </c>
      <c r="F98" s="1">
        <v>2.5000000000000001E-3</v>
      </c>
      <c r="H98" s="6">
        <f t="shared" ref="H98:H155" si="11">(I97-$H$95)</f>
        <v>190936.18214196261</v>
      </c>
      <c r="I98" s="6">
        <f>H98+(H98*(C98-C98*$K$28))</f>
        <v>191389.18229081217</v>
      </c>
    </row>
    <row r="99" spans="1:9" x14ac:dyDescent="0.25">
      <c r="A99">
        <v>2015</v>
      </c>
      <c r="B99">
        <v>4</v>
      </c>
      <c r="C99" s="1">
        <v>-4.5999999999999999E-3</v>
      </c>
      <c r="D99" s="1"/>
      <c r="E99" s="3">
        <v>187386</v>
      </c>
      <c r="F99" s="108">
        <v>-4.5999999999999999E-3</v>
      </c>
      <c r="H99" s="6">
        <f t="shared" si="11"/>
        <v>188056.18229081217</v>
      </c>
      <c r="I99" s="6">
        <f>H99+(H99*C99)</f>
        <v>187191.12385227444</v>
      </c>
    </row>
    <row r="100" spans="1:9" x14ac:dyDescent="0.25">
      <c r="A100">
        <v>2015</v>
      </c>
      <c r="B100">
        <v>5</v>
      </c>
      <c r="C100" s="1">
        <v>-3.0999999999999999E-3</v>
      </c>
      <c r="D100" s="1"/>
      <c r="E100" s="3">
        <v>183466</v>
      </c>
      <c r="F100" s="108">
        <v>-3.0999999999999999E-3</v>
      </c>
      <c r="H100" s="6">
        <f t="shared" si="11"/>
        <v>183858.12385227444</v>
      </c>
      <c r="I100" s="6">
        <f t="shared" ref="I100:I101" si="12">H100+(H100*C100)</f>
        <v>183288.16366833239</v>
      </c>
    </row>
    <row r="101" spans="1:9" x14ac:dyDescent="0.25">
      <c r="A101">
        <v>2015</v>
      </c>
      <c r="B101">
        <v>6</v>
      </c>
      <c r="C101" s="1">
        <v>-1.1000000000000001E-3</v>
      </c>
      <c r="D101" s="1"/>
      <c r="E101" s="3">
        <v>179924</v>
      </c>
      <c r="F101" s="108">
        <v>-1.1000000000000001E-3</v>
      </c>
      <c r="H101" s="6">
        <f t="shared" si="11"/>
        <v>179955.16366833239</v>
      </c>
      <c r="I101" s="6">
        <f t="shared" si="12"/>
        <v>179757.21298829722</v>
      </c>
    </row>
    <row r="102" spans="1:9" x14ac:dyDescent="0.25">
      <c r="A102">
        <v>2015</v>
      </c>
      <c r="B102">
        <v>7</v>
      </c>
      <c r="C102" s="1">
        <v>6.7000000000000002E-3</v>
      </c>
      <c r="D102" s="1"/>
      <c r="E102" s="3">
        <v>177803</v>
      </c>
      <c r="F102" s="1">
        <v>6.7000000000000002E-3</v>
      </c>
      <c r="H102" s="6">
        <f t="shared" si="11"/>
        <v>176424.21298829722</v>
      </c>
      <c r="I102" s="6">
        <f>H102+(H102*(C102-C102*$K$28))</f>
        <v>177545.98110742535</v>
      </c>
    </row>
    <row r="103" spans="1:9" x14ac:dyDescent="0.25">
      <c r="A103">
        <v>2015</v>
      </c>
      <c r="B103">
        <v>8</v>
      </c>
      <c r="C103" s="1">
        <v>2.3999999999999998E-3</v>
      </c>
      <c r="D103" s="1"/>
      <c r="E103" s="3">
        <v>174905</v>
      </c>
      <c r="F103" s="1">
        <v>2.3999999999999998E-3</v>
      </c>
      <c r="H103" s="6">
        <f t="shared" si="11"/>
        <v>174212.98110742535</v>
      </c>
      <c r="I103" s="6">
        <f t="shared" ref="I103:I115" si="13">H103+(H103*(C103-C103*$K$28))</f>
        <v>174609.7721465482</v>
      </c>
    </row>
    <row r="104" spans="1:9" x14ac:dyDescent="0.25">
      <c r="A104">
        <v>2015</v>
      </c>
      <c r="B104">
        <v>9</v>
      </c>
      <c r="C104" s="1">
        <v>6.6E-3</v>
      </c>
      <c r="D104" s="1"/>
      <c r="E104" s="3">
        <v>172732</v>
      </c>
      <c r="F104" s="1">
        <v>6.6E-3</v>
      </c>
      <c r="H104" s="6">
        <f t="shared" si="11"/>
        <v>171276.7721465482</v>
      </c>
      <c r="I104" s="6">
        <f t="shared" si="13"/>
        <v>172349.55668823663</v>
      </c>
    </row>
    <row r="105" spans="1:9" x14ac:dyDescent="0.25">
      <c r="A105">
        <v>2015</v>
      </c>
      <c r="B105">
        <v>10</v>
      </c>
      <c r="C105" s="1">
        <v>3.8E-3</v>
      </c>
      <c r="D105" s="1"/>
      <c r="E105" s="3">
        <v>170048</v>
      </c>
      <c r="F105" s="1">
        <v>3.8E-3</v>
      </c>
      <c r="H105" s="6">
        <f t="shared" si="11"/>
        <v>169016.55668823663</v>
      </c>
      <c r="I105" s="6">
        <f t="shared" si="13"/>
        <v>169626.06965329082</v>
      </c>
    </row>
    <row r="106" spans="1:9" x14ac:dyDescent="0.25">
      <c r="A106">
        <v>2015</v>
      </c>
      <c r="B106">
        <v>11</v>
      </c>
      <c r="C106" s="1">
        <v>3.0000000000000001E-3</v>
      </c>
      <c r="D106" s="1"/>
      <c r="E106" s="3">
        <v>167233</v>
      </c>
      <c r="F106" s="1">
        <v>3.0000000000000001E-3</v>
      </c>
      <c r="H106" s="6">
        <f t="shared" si="11"/>
        <v>166293.06965329082</v>
      </c>
      <c r="I106" s="6">
        <f t="shared" si="13"/>
        <v>166766.51026236039</v>
      </c>
    </row>
    <row r="107" spans="1:9" x14ac:dyDescent="0.25">
      <c r="A107">
        <v>2015</v>
      </c>
      <c r="B107">
        <v>12</v>
      </c>
      <c r="C107" s="1">
        <v>6.6E-3</v>
      </c>
      <c r="D107" s="1"/>
      <c r="E107" s="3">
        <v>165010</v>
      </c>
      <c r="F107" s="1">
        <v>6.6E-3</v>
      </c>
      <c r="H107" s="6">
        <f t="shared" si="11"/>
        <v>163433.51026236039</v>
      </c>
      <c r="I107" s="6">
        <f t="shared" si="13"/>
        <v>164457.16887762974</v>
      </c>
    </row>
    <row r="108" spans="1:9" x14ac:dyDescent="0.25">
      <c r="A108">
        <v>2016</v>
      </c>
      <c r="B108">
        <v>1</v>
      </c>
      <c r="C108" s="1">
        <v>1.29E-2</v>
      </c>
      <c r="D108" s="1"/>
      <c r="E108" s="3">
        <v>163804</v>
      </c>
      <c r="F108" s="1">
        <v>1.29E-2</v>
      </c>
      <c r="H108" s="6">
        <f t="shared" si="11"/>
        <v>161124.16887762974</v>
      </c>
      <c r="I108" s="6">
        <f t="shared" si="13"/>
        <v>163096.68472976764</v>
      </c>
    </row>
    <row r="109" spans="1:9" x14ac:dyDescent="0.25">
      <c r="A109">
        <v>2016</v>
      </c>
      <c r="B109">
        <v>2</v>
      </c>
      <c r="C109" s="1">
        <v>1E-4</v>
      </c>
      <c r="D109" s="1"/>
      <c r="E109" s="3">
        <v>160487</v>
      </c>
      <c r="F109" s="1">
        <v>1E-4</v>
      </c>
      <c r="H109" s="6">
        <f t="shared" si="11"/>
        <v>159763.68472976764</v>
      </c>
      <c r="I109" s="6">
        <f t="shared" si="13"/>
        <v>159778.84643922499</v>
      </c>
    </row>
    <row r="110" spans="1:9" x14ac:dyDescent="0.25">
      <c r="A110">
        <v>2016</v>
      </c>
      <c r="B110">
        <v>3</v>
      </c>
      <c r="C110" s="1">
        <v>3.0000000000000001E-3</v>
      </c>
      <c r="D110" s="1"/>
      <c r="E110" s="3">
        <v>157640</v>
      </c>
      <c r="F110" s="1">
        <v>3.0000000000000001E-3</v>
      </c>
      <c r="H110" s="6">
        <f t="shared" si="11"/>
        <v>156445.84643922499</v>
      </c>
      <c r="I110" s="6">
        <f t="shared" si="13"/>
        <v>156891.25175274175</v>
      </c>
    </row>
    <row r="111" spans="1:9" x14ac:dyDescent="0.25">
      <c r="A111">
        <v>2016</v>
      </c>
      <c r="B111">
        <v>4</v>
      </c>
      <c r="C111" s="1">
        <v>6.4000000000000003E-3</v>
      </c>
      <c r="D111" s="1"/>
      <c r="E111" s="3">
        <v>155318</v>
      </c>
      <c r="F111" s="1">
        <v>6.4000000000000003E-3</v>
      </c>
      <c r="H111" s="6">
        <f t="shared" si="11"/>
        <v>153558.25175274175</v>
      </c>
      <c r="I111" s="6">
        <f t="shared" si="13"/>
        <v>154490.91150276407</v>
      </c>
    </row>
    <row r="112" spans="1:9" x14ac:dyDescent="0.25">
      <c r="A112">
        <v>2016</v>
      </c>
      <c r="B112">
        <v>5</v>
      </c>
      <c r="C112" s="1">
        <v>8.9999999999999998E-4</v>
      </c>
      <c r="D112" s="1"/>
      <c r="E112" s="3">
        <v>152124</v>
      </c>
      <c r="F112" s="1">
        <v>8.9999999999999998E-4</v>
      </c>
      <c r="H112" s="6">
        <f t="shared" si="11"/>
        <v>151157.91150276407</v>
      </c>
      <c r="I112" s="6">
        <f t="shared" si="13"/>
        <v>151287.0166311439</v>
      </c>
    </row>
    <row r="113" spans="1:9" x14ac:dyDescent="0.25">
      <c r="A113">
        <v>2016</v>
      </c>
      <c r="B113">
        <v>6</v>
      </c>
      <c r="C113" s="1">
        <v>1.4E-2</v>
      </c>
      <c r="D113" s="1"/>
      <c r="E113" s="3">
        <v>150921</v>
      </c>
      <c r="F113" s="1">
        <v>1.4E-2</v>
      </c>
      <c r="H113" s="6">
        <f t="shared" si="11"/>
        <v>147954.0166311439</v>
      </c>
      <c r="I113" s="6">
        <f t="shared" si="13"/>
        <v>149919.75129969933</v>
      </c>
    </row>
    <row r="114" spans="1:9" x14ac:dyDescent="0.25">
      <c r="A114">
        <v>2016</v>
      </c>
      <c r="B114">
        <v>7</v>
      </c>
      <c r="C114" s="1">
        <v>-5.0000000000000001E-4</v>
      </c>
      <c r="D114" s="1"/>
      <c r="E114" s="3">
        <v>147514</v>
      </c>
      <c r="F114" s="108">
        <v>-5.0000000000000001E-4</v>
      </c>
      <c r="H114" s="6">
        <f t="shared" si="11"/>
        <v>146586.75129969933</v>
      </c>
      <c r="I114" s="6">
        <f t="shared" ref="I114:I118" si="14">H114+(H114*C114)</f>
        <v>146513.45792404949</v>
      </c>
    </row>
    <row r="115" spans="1:9" x14ac:dyDescent="0.25">
      <c r="A115">
        <v>2016</v>
      </c>
      <c r="B115">
        <v>8</v>
      </c>
      <c r="C115" s="1">
        <v>1.5E-3</v>
      </c>
      <c r="D115" s="1"/>
      <c r="E115" s="3">
        <v>144408</v>
      </c>
      <c r="F115" s="1">
        <v>1.5E-3</v>
      </c>
      <c r="H115" s="6">
        <f t="shared" si="11"/>
        <v>143180.45792404949</v>
      </c>
      <c r="I115" s="6">
        <f t="shared" si="13"/>
        <v>143384.277131151</v>
      </c>
    </row>
    <row r="116" spans="1:9" x14ac:dyDescent="0.25">
      <c r="A116">
        <v>2016</v>
      </c>
      <c r="B116">
        <v>9</v>
      </c>
      <c r="C116" s="1">
        <v>-4.0000000000000001E-3</v>
      </c>
      <c r="D116" s="1"/>
      <c r="E116" s="3">
        <v>140493</v>
      </c>
      <c r="F116" s="108">
        <v>-4.0000000000000001E-3</v>
      </c>
      <c r="H116" s="6">
        <f t="shared" si="11"/>
        <v>140051.277131151</v>
      </c>
      <c r="I116" s="6">
        <f t="shared" si="14"/>
        <v>139491.07202262641</v>
      </c>
    </row>
    <row r="117" spans="1:9" x14ac:dyDescent="0.25">
      <c r="A117">
        <v>2016</v>
      </c>
      <c r="B117">
        <v>10</v>
      </c>
      <c r="C117" s="1">
        <v>-8.0999999999999996E-3</v>
      </c>
      <c r="D117" s="1"/>
      <c r="E117" s="3">
        <v>136019</v>
      </c>
      <c r="F117" s="108">
        <v>-8.0999999999999996E-3</v>
      </c>
      <c r="H117" s="6">
        <f t="shared" si="11"/>
        <v>136158.07202262641</v>
      </c>
      <c r="I117" s="6">
        <f t="shared" si="14"/>
        <v>135055.19163924313</v>
      </c>
    </row>
    <row r="118" spans="1:9" x14ac:dyDescent="0.25">
      <c r="A118">
        <v>2016</v>
      </c>
      <c r="B118">
        <v>11</v>
      </c>
      <c r="C118" s="1">
        <v>-3.4200000000000001E-2</v>
      </c>
      <c r="D118" s="1"/>
      <c r="E118" s="3">
        <v>128041</v>
      </c>
      <c r="F118" s="108">
        <v>-3.4200000000000001E-2</v>
      </c>
      <c r="H118" s="6">
        <f t="shared" si="11"/>
        <v>131722.19163924313</v>
      </c>
      <c r="I118" s="6">
        <f>H118+(H118*C118)</f>
        <v>127217.29268518102</v>
      </c>
    </row>
    <row r="119" spans="1:9" x14ac:dyDescent="0.25">
      <c r="A119">
        <v>2016</v>
      </c>
      <c r="B119">
        <v>12</v>
      </c>
      <c r="C119" s="1">
        <v>9.5999999999999992E-3</v>
      </c>
      <c r="D119" s="1"/>
      <c r="E119" s="3">
        <v>125942</v>
      </c>
      <c r="F119" s="1">
        <v>9.5999999999999992E-3</v>
      </c>
      <c r="H119" s="6">
        <f t="shared" si="11"/>
        <v>123884.29268518102</v>
      </c>
      <c r="I119" s="6">
        <f t="shared" ref="I119:I131" si="15">H119+(H119*(C119-C119*$K$28))</f>
        <v>125012.93825253383</v>
      </c>
    </row>
    <row r="120" spans="1:9" x14ac:dyDescent="0.25">
      <c r="A120">
        <v>2017</v>
      </c>
      <c r="B120">
        <v>1</v>
      </c>
      <c r="C120" s="1">
        <v>5.3E-3</v>
      </c>
      <c r="D120" s="1"/>
      <c r="E120" s="3">
        <v>123271</v>
      </c>
      <c r="F120" s="1">
        <v>5.3E-3</v>
      </c>
      <c r="H120" s="6">
        <f t="shared" si="11"/>
        <v>121679.93825253383</v>
      </c>
      <c r="I120" s="6">
        <f t="shared" si="15"/>
        <v>122291.95731873036</v>
      </c>
    </row>
    <row r="121" spans="1:9" x14ac:dyDescent="0.25">
      <c r="A121">
        <v>2017</v>
      </c>
      <c r="B121">
        <v>2</v>
      </c>
      <c r="C121" s="1">
        <v>5.7000000000000002E-3</v>
      </c>
      <c r="D121" s="1"/>
      <c r="E121" s="3">
        <v>120644</v>
      </c>
      <c r="F121" s="1">
        <v>5.7000000000000002E-3</v>
      </c>
      <c r="H121" s="6">
        <f t="shared" si="11"/>
        <v>118958.95731873036</v>
      </c>
      <c r="I121" s="6">
        <f t="shared" si="15"/>
        <v>119602.44776915562</v>
      </c>
    </row>
    <row r="122" spans="1:9" x14ac:dyDescent="0.25">
      <c r="A122">
        <v>2017</v>
      </c>
      <c r="B122">
        <v>3</v>
      </c>
      <c r="C122" s="1">
        <v>3.0999999999999999E-3</v>
      </c>
      <c r="D122" s="1"/>
      <c r="E122" s="3">
        <v>117681</v>
      </c>
      <c r="F122" s="1">
        <v>3.0999999999999999E-3</v>
      </c>
      <c r="H122" s="6">
        <f t="shared" si="11"/>
        <v>116269.44776915562</v>
      </c>
      <c r="I122" s="6">
        <f t="shared" si="15"/>
        <v>116611.50392073712</v>
      </c>
    </row>
    <row r="123" spans="1:9" x14ac:dyDescent="0.25">
      <c r="A123">
        <v>2017</v>
      </c>
      <c r="B123">
        <v>4</v>
      </c>
      <c r="C123" s="1">
        <v>7.3000000000000001E-3</v>
      </c>
      <c r="D123" s="1"/>
      <c r="E123" s="3">
        <v>115206</v>
      </c>
      <c r="F123" s="1">
        <v>7.3000000000000001E-3</v>
      </c>
      <c r="H123" s="6">
        <f t="shared" si="11"/>
        <v>113278.50392073712</v>
      </c>
      <c r="I123" s="6">
        <f t="shared" si="15"/>
        <v>114063.27044010868</v>
      </c>
    </row>
    <row r="124" spans="1:9" x14ac:dyDescent="0.25">
      <c r="A124">
        <v>2017</v>
      </c>
      <c r="B124">
        <v>5</v>
      </c>
      <c r="C124" s="1">
        <v>1.37E-2</v>
      </c>
      <c r="D124" s="1"/>
      <c r="E124" s="3">
        <v>113453</v>
      </c>
      <c r="F124" s="1">
        <v>1.37E-2</v>
      </c>
      <c r="H124" s="6">
        <f t="shared" si="11"/>
        <v>110730.27044010868</v>
      </c>
      <c r="I124" s="6">
        <f t="shared" si="15"/>
        <v>112169.92079757292</v>
      </c>
    </row>
    <row r="125" spans="1:9" x14ac:dyDescent="0.25">
      <c r="A125">
        <v>2017</v>
      </c>
      <c r="B125">
        <v>6</v>
      </c>
      <c r="C125" s="1">
        <v>-3.3999999999999998E-3</v>
      </c>
      <c r="D125" s="1"/>
      <c r="E125" s="3">
        <v>109734</v>
      </c>
      <c r="F125" s="108">
        <v>-3.3999999999999998E-3</v>
      </c>
      <c r="H125" s="6">
        <f t="shared" si="11"/>
        <v>108836.92079757292</v>
      </c>
      <c r="I125" s="6">
        <f t="shared" ref="I125:I135" si="16">H125+(H125*C125)</f>
        <v>108466.87526686117</v>
      </c>
    </row>
    <row r="126" spans="1:9" x14ac:dyDescent="0.25">
      <c r="A126">
        <v>2017</v>
      </c>
      <c r="B126">
        <v>7</v>
      </c>
      <c r="C126" s="1">
        <v>6.4999999999999997E-3</v>
      </c>
      <c r="D126" s="1"/>
      <c r="E126" s="3">
        <v>107119</v>
      </c>
      <c r="F126" s="1">
        <v>6.4999999999999997E-3</v>
      </c>
      <c r="H126" s="6">
        <f t="shared" si="11"/>
        <v>105133.87526686117</v>
      </c>
      <c r="I126" s="6">
        <f t="shared" si="15"/>
        <v>105782.39938412346</v>
      </c>
    </row>
    <row r="127" spans="1:9" x14ac:dyDescent="0.25">
      <c r="A127">
        <v>2017</v>
      </c>
      <c r="B127">
        <v>8</v>
      </c>
      <c r="C127" s="1">
        <v>7.9000000000000008E-3</v>
      </c>
      <c r="D127" s="1"/>
      <c r="E127" s="3">
        <v>104633</v>
      </c>
      <c r="F127" s="1">
        <v>7.9000000000000008E-3</v>
      </c>
      <c r="H127" s="6">
        <f t="shared" si="11"/>
        <v>102449.39938412346</v>
      </c>
      <c r="I127" s="6">
        <f t="shared" si="15"/>
        <v>103217.47965457695</v>
      </c>
    </row>
    <row r="128" spans="1:9" x14ac:dyDescent="0.25">
      <c r="A128">
        <v>2017</v>
      </c>
      <c r="B128">
        <v>9</v>
      </c>
      <c r="C128" s="1">
        <v>-4.1000000000000003E-3</v>
      </c>
      <c r="D128" s="1"/>
      <c r="E128" s="3">
        <v>100869</v>
      </c>
      <c r="F128" s="108">
        <v>-4.1000000000000003E-3</v>
      </c>
      <c r="H128" s="6">
        <f t="shared" si="11"/>
        <v>99884.47965457695</v>
      </c>
      <c r="I128" s="6">
        <f t="shared" si="16"/>
        <v>99474.953287993179</v>
      </c>
    </row>
    <row r="129" spans="1:9" x14ac:dyDescent="0.25">
      <c r="A129">
        <v>2017</v>
      </c>
      <c r="B129">
        <v>10</v>
      </c>
      <c r="C129" s="1">
        <v>8.9999999999999998E-4</v>
      </c>
      <c r="D129" s="1"/>
      <c r="E129" s="3">
        <v>97623</v>
      </c>
      <c r="F129" s="1">
        <v>8.9999999999999998E-4</v>
      </c>
      <c r="H129" s="6">
        <f t="shared" si="11"/>
        <v>96141.953287993179</v>
      </c>
      <c r="I129" s="6">
        <f t="shared" si="15"/>
        <v>96224.068865659836</v>
      </c>
    </row>
    <row r="130" spans="1:9" x14ac:dyDescent="0.25">
      <c r="A130">
        <v>2017</v>
      </c>
      <c r="B130">
        <v>11</v>
      </c>
      <c r="C130" s="1">
        <v>-7.0000000000000001E-3</v>
      </c>
      <c r="D130" s="1"/>
      <c r="E130" s="3">
        <v>93611</v>
      </c>
      <c r="F130" s="108">
        <v>-7.0000000000000001E-3</v>
      </c>
      <c r="H130" s="6">
        <f t="shared" si="11"/>
        <v>92891.068865659836</v>
      </c>
      <c r="I130" s="6">
        <f t="shared" si="16"/>
        <v>92240.83138360022</v>
      </c>
    </row>
    <row r="131" spans="1:9" x14ac:dyDescent="0.25">
      <c r="A131">
        <v>2017</v>
      </c>
      <c r="B131">
        <v>12</v>
      </c>
      <c r="C131" s="1">
        <v>8.6999999999999994E-3</v>
      </c>
      <c r="D131" s="1"/>
      <c r="E131" s="3">
        <v>91097</v>
      </c>
      <c r="F131" s="1">
        <v>8.6999999999999994E-3</v>
      </c>
      <c r="H131" s="6">
        <f t="shared" si="11"/>
        <v>88907.83138360022</v>
      </c>
      <c r="I131" s="6">
        <f t="shared" si="15"/>
        <v>89641.887685491165</v>
      </c>
    </row>
    <row r="132" spans="1:9" x14ac:dyDescent="0.25">
      <c r="A132">
        <v>2018</v>
      </c>
      <c r="B132">
        <v>1</v>
      </c>
      <c r="C132" s="1">
        <v>-1.04E-2</v>
      </c>
      <c r="D132" s="1"/>
      <c r="E132" s="3">
        <v>86814</v>
      </c>
      <c r="F132" s="108">
        <v>-1.04E-2</v>
      </c>
      <c r="H132" s="6">
        <f t="shared" si="11"/>
        <v>86308.887685491165</v>
      </c>
      <c r="I132" s="6">
        <f t="shared" si="16"/>
        <v>85411.275253562053</v>
      </c>
    </row>
    <row r="133" spans="1:9" x14ac:dyDescent="0.25">
      <c r="A133">
        <v>2018</v>
      </c>
      <c r="B133">
        <v>2</v>
      </c>
      <c r="C133" s="1">
        <v>-2.8999999999999998E-3</v>
      </c>
      <c r="D133" s="1"/>
      <c r="E133" s="3">
        <v>83229</v>
      </c>
      <c r="F133" s="108">
        <v>-2.8999999999999998E-3</v>
      </c>
      <c r="H133" s="6">
        <f t="shared" si="11"/>
        <v>82078.275253562053</v>
      </c>
      <c r="I133" s="6">
        <f t="shared" si="16"/>
        <v>81840.248255326718</v>
      </c>
    </row>
    <row r="134" spans="1:9" x14ac:dyDescent="0.25">
      <c r="A134">
        <v>2018</v>
      </c>
      <c r="B134">
        <v>3</v>
      </c>
      <c r="C134" s="1">
        <v>2.3999999999999998E-3</v>
      </c>
      <c r="D134" s="1"/>
      <c r="E134" s="3">
        <v>80093</v>
      </c>
      <c r="F134" s="1">
        <v>2.3999999999999998E-3</v>
      </c>
      <c r="H134" s="6">
        <f t="shared" si="11"/>
        <v>78507.248255326718</v>
      </c>
      <c r="I134" s="6">
        <f t="shared" ref="I134" si="17">H134+(H134*(C134-C134*$K$28))</f>
        <v>78686.057965234038</v>
      </c>
    </row>
    <row r="135" spans="1:9" x14ac:dyDescent="0.25">
      <c r="A135">
        <v>2018</v>
      </c>
      <c r="B135">
        <v>4</v>
      </c>
      <c r="C135" s="1">
        <v>-3.5000000000000001E-3</v>
      </c>
      <c r="D135" s="1"/>
      <c r="E135" s="3">
        <v>76483</v>
      </c>
      <c r="F135" s="108">
        <v>-3.5000000000000001E-3</v>
      </c>
      <c r="H135" s="6">
        <f t="shared" si="11"/>
        <v>75353.057965234038</v>
      </c>
      <c r="I135" s="6">
        <f t="shared" si="16"/>
        <v>75089.322262355723</v>
      </c>
    </row>
    <row r="136" spans="1:9" x14ac:dyDescent="0.25">
      <c r="A136">
        <v>2018</v>
      </c>
      <c r="B136">
        <v>5</v>
      </c>
      <c r="C136" s="1">
        <v>1.04E-2</v>
      </c>
      <c r="D136" s="1"/>
      <c r="E136" s="3">
        <v>73941</v>
      </c>
      <c r="F136" s="1">
        <v>1.04E-2</v>
      </c>
      <c r="H136" s="6">
        <f t="shared" si="11"/>
        <v>71756.322262355723</v>
      </c>
      <c r="I136" s="6">
        <f t="shared" ref="I136:I139" si="18">H136+(H136*(C136-C136*$K$28))</f>
        <v>72464.53480275812</v>
      </c>
    </row>
    <row r="137" spans="1:9" x14ac:dyDescent="0.25">
      <c r="A137">
        <v>2018</v>
      </c>
      <c r="B137">
        <v>6</v>
      </c>
      <c r="C137" s="1">
        <v>8.9999999999999998E-4</v>
      </c>
      <c r="D137" s="1"/>
      <c r="E137" s="3">
        <v>70674</v>
      </c>
      <c r="F137" s="1">
        <v>8.9999999999999998E-4</v>
      </c>
      <c r="H137" s="6">
        <f t="shared" si="11"/>
        <v>69131.53480275812</v>
      </c>
      <c r="I137" s="6">
        <f t="shared" si="18"/>
        <v>69190.580575401269</v>
      </c>
    </row>
    <row r="138" spans="1:9" x14ac:dyDescent="0.25">
      <c r="A138">
        <v>2018</v>
      </c>
      <c r="B138">
        <v>7</v>
      </c>
      <c r="C138" s="1">
        <v>2.3999999999999998E-3</v>
      </c>
      <c r="D138" s="1"/>
      <c r="E138" s="3">
        <v>67509</v>
      </c>
      <c r="F138" s="1">
        <v>2.3999999999999998E-3</v>
      </c>
      <c r="H138" s="6">
        <f t="shared" si="11"/>
        <v>65857.580575401269</v>
      </c>
      <c r="I138" s="6">
        <f t="shared" si="18"/>
        <v>66007.579144190575</v>
      </c>
    </row>
    <row r="139" spans="1:9" x14ac:dyDescent="0.25">
      <c r="A139">
        <v>2018</v>
      </c>
      <c r="B139">
        <v>8</v>
      </c>
      <c r="C139" s="1">
        <v>1.6999999999999999E-3</v>
      </c>
      <c r="D139" s="1"/>
      <c r="E139" s="3">
        <v>64289</v>
      </c>
      <c r="F139" s="1">
        <v>1.6999999999999999E-3</v>
      </c>
      <c r="H139" s="6">
        <f t="shared" si="11"/>
        <v>62674.579144190575</v>
      </c>
      <c r="I139" s="6">
        <f t="shared" si="18"/>
        <v>62775.692948220647</v>
      </c>
    </row>
    <row r="140" spans="1:9" x14ac:dyDescent="0.25">
      <c r="A140">
        <v>2018</v>
      </c>
      <c r="B140">
        <v>9</v>
      </c>
      <c r="C140" s="1">
        <v>-4.7999999999999996E-3</v>
      </c>
      <c r="D140" s="1"/>
      <c r="E140" s="3">
        <v>60645</v>
      </c>
      <c r="F140" s="108">
        <v>-4.7999999999999996E-3</v>
      </c>
      <c r="H140" s="6">
        <f t="shared" si="11"/>
        <v>59442.692948220647</v>
      </c>
      <c r="I140" s="6">
        <f t="shared" ref="I140:I141" si="19">H140+(H140*C140)</f>
        <v>59157.368022069189</v>
      </c>
    </row>
    <row r="141" spans="1:9" x14ac:dyDescent="0.25">
      <c r="A141">
        <v>2018</v>
      </c>
      <c r="B141">
        <v>10</v>
      </c>
      <c r="C141" s="1">
        <v>-5.5999999999999999E-3</v>
      </c>
      <c r="D141" s="1"/>
      <c r="E141" s="3">
        <v>56972</v>
      </c>
      <c r="F141" s="108">
        <v>-5.5999999999999999E-3</v>
      </c>
      <c r="H141" s="6">
        <f t="shared" si="11"/>
        <v>55824.368022069189</v>
      </c>
      <c r="I141" s="6">
        <f t="shared" si="19"/>
        <v>55511.751561145604</v>
      </c>
    </row>
    <row r="142" spans="1:9" x14ac:dyDescent="0.25">
      <c r="A142">
        <v>2018</v>
      </c>
      <c r="B142">
        <v>11</v>
      </c>
      <c r="C142" s="1">
        <v>1.04E-2</v>
      </c>
      <c r="D142" s="1"/>
      <c r="E142" s="3">
        <v>54233</v>
      </c>
      <c r="F142" s="1">
        <v>1.04E-2</v>
      </c>
      <c r="H142" s="6">
        <f t="shared" si="11"/>
        <v>52178.751561145604</v>
      </c>
      <c r="I142" s="6">
        <f t="shared" ref="I142:I155" si="20">H142+(H142*(C142-C142*$K$28))</f>
        <v>52693.739579386485</v>
      </c>
    </row>
    <row r="143" spans="1:9" x14ac:dyDescent="0.25">
      <c r="A143">
        <v>2018</v>
      </c>
      <c r="B143">
        <v>12</v>
      </c>
      <c r="C143" s="1">
        <v>1.1900000000000001E-2</v>
      </c>
      <c r="D143" s="1"/>
      <c r="E143" s="3">
        <v>51544</v>
      </c>
      <c r="F143" s="1">
        <v>1.1900000000000001E-2</v>
      </c>
      <c r="H143" s="6">
        <f t="shared" si="11"/>
        <v>49360.739579386485</v>
      </c>
      <c r="I143" s="6">
        <f t="shared" si="20"/>
        <v>49918.180339537263</v>
      </c>
    </row>
    <row r="144" spans="1:9" x14ac:dyDescent="0.25">
      <c r="A144">
        <v>2019</v>
      </c>
      <c r="B144">
        <v>1</v>
      </c>
      <c r="C144" s="1">
        <v>8.2000000000000007E-3</v>
      </c>
      <c r="D144" s="1"/>
      <c r="E144" s="3">
        <v>48631</v>
      </c>
      <c r="F144" s="1">
        <v>8.2000000000000007E-3</v>
      </c>
      <c r="H144" s="6">
        <f t="shared" si="11"/>
        <v>46585.180339537263</v>
      </c>
      <c r="I144" s="6">
        <f t="shared" si="20"/>
        <v>46947.700142349466</v>
      </c>
    </row>
    <row r="145" spans="1:9" x14ac:dyDescent="0.25">
      <c r="A145">
        <v>2019</v>
      </c>
      <c r="B145">
        <v>2</v>
      </c>
      <c r="C145" s="1">
        <v>5.0000000000000001E-3</v>
      </c>
      <c r="D145" s="1"/>
      <c r="E145" s="3">
        <v>45541</v>
      </c>
      <c r="F145" s="1">
        <v>5.0000000000000001E-3</v>
      </c>
      <c r="H145" s="6">
        <f t="shared" si="11"/>
        <v>43614.700142349466</v>
      </c>
      <c r="I145" s="6">
        <f t="shared" si="20"/>
        <v>43821.653747840784</v>
      </c>
    </row>
    <row r="146" spans="1:9" x14ac:dyDescent="0.25">
      <c r="A146">
        <v>2019</v>
      </c>
      <c r="B146">
        <v>3</v>
      </c>
      <c r="C146" s="1">
        <v>1.2999999999999999E-2</v>
      </c>
      <c r="D146" s="1"/>
      <c r="E146" s="3">
        <v>42801</v>
      </c>
      <c r="F146" s="1">
        <v>1.2999999999999999E-2</v>
      </c>
      <c r="H146" s="6">
        <f t="shared" si="11"/>
        <v>40488.653747840784</v>
      </c>
      <c r="I146" s="6">
        <f t="shared" si="20"/>
        <v>40988.166742378591</v>
      </c>
    </row>
    <row r="147" spans="1:9" x14ac:dyDescent="0.25">
      <c r="A147">
        <v>2019</v>
      </c>
      <c r="B147">
        <v>4</v>
      </c>
      <c r="C147" s="1">
        <v>2.8999999999999998E-3</v>
      </c>
      <c r="D147" s="1"/>
      <c r="E147" s="3">
        <v>39594</v>
      </c>
      <c r="F147" s="1">
        <v>2.8999999999999998E-3</v>
      </c>
      <c r="H147" s="6">
        <f t="shared" si="11"/>
        <v>37655.166742378591</v>
      </c>
      <c r="I147" s="6">
        <f t="shared" si="20"/>
        <v>37758.798454815478</v>
      </c>
    </row>
    <row r="148" spans="1:9" x14ac:dyDescent="0.25">
      <c r="A148">
        <v>2019</v>
      </c>
      <c r="B148">
        <v>5</v>
      </c>
      <c r="C148" s="1">
        <v>1.3599999999999999E-2</v>
      </c>
      <c r="D148" s="1"/>
      <c r="E148" s="3">
        <v>36798</v>
      </c>
      <c r="F148" s="1">
        <v>1.3599999999999999E-2</v>
      </c>
      <c r="H148" s="6">
        <f t="shared" si="11"/>
        <v>34425.798454815478</v>
      </c>
      <c r="I148" s="6">
        <f t="shared" si="20"/>
        <v>34870.115558951853</v>
      </c>
    </row>
    <row r="149" spans="1:9" x14ac:dyDescent="0.25">
      <c r="A149">
        <v>2019</v>
      </c>
      <c r="B149">
        <v>6</v>
      </c>
      <c r="C149" s="1">
        <v>3.5999999999999999E-3</v>
      </c>
      <c r="D149" s="1"/>
      <c r="E149" s="3">
        <v>33596</v>
      </c>
      <c r="F149" s="1">
        <v>3.5999999999999999E-3</v>
      </c>
      <c r="H149" s="6">
        <f t="shared" si="11"/>
        <v>31537.115558951853</v>
      </c>
      <c r="I149" s="6">
        <f t="shared" si="20"/>
        <v>31644.859925422381</v>
      </c>
    </row>
    <row r="150" spans="1:9" x14ac:dyDescent="0.25">
      <c r="A150">
        <v>2019</v>
      </c>
      <c r="B150">
        <v>7</v>
      </c>
      <c r="C150" s="1">
        <v>7.7999999999999996E-3</v>
      </c>
      <c r="D150" s="1"/>
      <c r="E150" s="3">
        <v>30523</v>
      </c>
      <c r="F150" s="1">
        <v>7.7999999999999996E-3</v>
      </c>
      <c r="H150" s="6">
        <f t="shared" si="11"/>
        <v>28311.859925422381</v>
      </c>
      <c r="I150" s="6">
        <f t="shared" si="20"/>
        <v>28521.431851725862</v>
      </c>
    </row>
    <row r="151" spans="1:9" x14ac:dyDescent="0.25">
      <c r="A151">
        <v>2019</v>
      </c>
      <c r="B151">
        <v>8</v>
      </c>
      <c r="C151" s="1">
        <v>1.32E-2</v>
      </c>
      <c r="D151" s="1"/>
      <c r="E151" s="3">
        <v>27594</v>
      </c>
      <c r="F151" s="1">
        <v>1.32E-2</v>
      </c>
      <c r="H151" s="6">
        <f t="shared" si="11"/>
        <v>25188.431851725862</v>
      </c>
      <c r="I151" s="6">
        <f t="shared" si="20"/>
        <v>25503.96512551717</v>
      </c>
    </row>
    <row r="152" spans="1:9" x14ac:dyDescent="0.25">
      <c r="A152">
        <v>2019</v>
      </c>
      <c r="B152">
        <v>9</v>
      </c>
      <c r="C152" s="1">
        <v>-7.4999999999999997E-3</v>
      </c>
      <c r="D152" s="1"/>
      <c r="E152" s="3">
        <v>24054</v>
      </c>
      <c r="F152" s="108">
        <v>-7.4999999999999997E-3</v>
      </c>
      <c r="H152" s="6">
        <f t="shared" si="11"/>
        <v>22170.96512551717</v>
      </c>
      <c r="I152" s="6">
        <f t="shared" ref="I152" si="21">H152+(H152*C152)</f>
        <v>22004.682887075793</v>
      </c>
    </row>
    <row r="153" spans="1:9" x14ac:dyDescent="0.25">
      <c r="A153">
        <v>2019</v>
      </c>
      <c r="B153">
        <v>10</v>
      </c>
      <c r="C153" s="1">
        <v>1.4E-3</v>
      </c>
      <c r="D153" s="1"/>
      <c r="E153" s="3">
        <v>20756</v>
      </c>
      <c r="F153" s="1">
        <v>1.4E-3</v>
      </c>
      <c r="H153" s="6">
        <f t="shared" si="11"/>
        <v>18671.682887075793</v>
      </c>
      <c r="I153" s="6">
        <f t="shared" si="20"/>
        <v>18696.49030711556</v>
      </c>
    </row>
    <row r="154" spans="1:9" x14ac:dyDescent="0.25">
      <c r="A154">
        <v>2019</v>
      </c>
      <c r="B154">
        <v>11</v>
      </c>
      <c r="C154" s="1">
        <v>1.4E-3</v>
      </c>
      <c r="D154" s="1"/>
      <c r="E154" s="3">
        <v>17451</v>
      </c>
      <c r="F154" s="1">
        <v>1.4E-3</v>
      </c>
      <c r="H154" s="6">
        <f t="shared" si="11"/>
        <v>15363.49030711556</v>
      </c>
      <c r="I154" s="6">
        <f t="shared" si="20"/>
        <v>15383.902423132662</v>
      </c>
    </row>
    <row r="155" spans="1:9" x14ac:dyDescent="0.25">
      <c r="A155" s="10">
        <v>2019</v>
      </c>
      <c r="B155" s="10">
        <v>12</v>
      </c>
      <c r="C155" s="11">
        <v>3.5000000000000001E-3</v>
      </c>
      <c r="D155" s="11"/>
      <c r="E155" s="14">
        <v>14179</v>
      </c>
      <c r="F155" s="11">
        <v>3.5000000000000001E-3</v>
      </c>
      <c r="H155" s="6">
        <f t="shared" si="11"/>
        <v>12050.902423132662</v>
      </c>
      <c r="I155" s="109">
        <f t="shared" si="20"/>
        <v>12090.929853985703</v>
      </c>
    </row>
    <row r="156" spans="1:9" x14ac:dyDescent="0.25">
      <c r="A156" t="s">
        <v>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DA077-7101-4A07-BA10-A905FF26E8E6}">
  <dimension ref="A1:W156"/>
  <sheetViews>
    <sheetView workbookViewId="0"/>
  </sheetViews>
  <sheetFormatPr defaultRowHeight="15" x14ac:dyDescent="0.25"/>
  <cols>
    <col min="5" max="5" width="10.140625" customWidth="1"/>
  </cols>
  <sheetData>
    <row r="1" spans="1:23" x14ac:dyDescent="0.25">
      <c r="A1" t="s">
        <v>43</v>
      </c>
      <c r="D1" t="s">
        <v>156</v>
      </c>
      <c r="K1" t="s">
        <v>77</v>
      </c>
      <c r="L1" t="s">
        <v>6</v>
      </c>
      <c r="M1" s="2">
        <f>C4*5</f>
        <v>0.38235000000000008</v>
      </c>
      <c r="N1" s="7">
        <f>M1/M2</f>
        <v>2.0337765957446812</v>
      </c>
      <c r="R1" s="2">
        <f>C4</f>
        <v>7.647000000000001E-2</v>
      </c>
      <c r="V1" s="2">
        <f>D4</f>
        <v>5.1941423192771077E-2</v>
      </c>
    </row>
    <row r="2" spans="1:23" x14ac:dyDescent="0.25">
      <c r="A2" t="s">
        <v>0</v>
      </c>
      <c r="B2" t="s">
        <v>1</v>
      </c>
      <c r="C2" t="s">
        <v>2</v>
      </c>
      <c r="E2" t="s">
        <v>3</v>
      </c>
      <c r="F2" t="s">
        <v>42</v>
      </c>
      <c r="L2" t="s">
        <v>7</v>
      </c>
      <c r="M2" s="5">
        <v>0.188</v>
      </c>
      <c r="P2" t="s">
        <v>8</v>
      </c>
      <c r="Q2">
        <v>200000</v>
      </c>
      <c r="R2">
        <v>40000</v>
      </c>
      <c r="S2" t="s">
        <v>9</v>
      </c>
      <c r="T2" t="s">
        <v>8</v>
      </c>
      <c r="U2">
        <v>200000</v>
      </c>
      <c r="V2">
        <v>40000</v>
      </c>
      <c r="W2" t="s">
        <v>9</v>
      </c>
    </row>
    <row r="3" spans="1:23" ht="15.75" thickBot="1" x14ac:dyDescent="0.3">
      <c r="A3" t="s">
        <v>5</v>
      </c>
      <c r="P3">
        <v>1</v>
      </c>
      <c r="Q3">
        <f>Q2 - R2</f>
        <v>160000</v>
      </c>
      <c r="R3" s="6">
        <f>Q3*(1+R1)</f>
        <v>172235.2</v>
      </c>
      <c r="T3">
        <v>1</v>
      </c>
      <c r="U3">
        <f>U2 - V2</f>
        <v>160000</v>
      </c>
      <c r="V3" s="6">
        <f>U3*(1+V1)</f>
        <v>168310.62771084337</v>
      </c>
    </row>
    <row r="4" spans="1:23" x14ac:dyDescent="0.25">
      <c r="C4" s="1">
        <f>AVERAGE(C5:C24)</f>
        <v>7.647000000000001E-2</v>
      </c>
      <c r="D4" s="108">
        <f>AVERAGE(D5:D24)</f>
        <v>5.1941423192771077E-2</v>
      </c>
      <c r="F4" s="1"/>
      <c r="I4" s="2" t="s">
        <v>36</v>
      </c>
      <c r="K4" s="31" t="s">
        <v>76</v>
      </c>
      <c r="L4" s="32" t="s">
        <v>6</v>
      </c>
      <c r="M4" s="33">
        <f>M1</f>
        <v>0.38235000000000008</v>
      </c>
      <c r="N4" s="34">
        <f>M4/M5</f>
        <v>3.885670731707318</v>
      </c>
      <c r="P4">
        <v>2</v>
      </c>
      <c r="Q4" s="6">
        <f>R3-R2</f>
        <v>132235.20000000001</v>
      </c>
      <c r="R4" s="6">
        <f>Q4*(1+R1)</f>
        <v>142347.22574400002</v>
      </c>
      <c r="T4">
        <v>2</v>
      </c>
      <c r="U4" s="6">
        <f>V3-V2</f>
        <v>128310.62771084337</v>
      </c>
      <c r="V4" s="6">
        <f>U4*(1+V1)</f>
        <v>134975.26432490238</v>
      </c>
    </row>
    <row r="5" spans="1:23" ht="15.75" thickBot="1" x14ac:dyDescent="0.3">
      <c r="A5">
        <v>2000</v>
      </c>
      <c r="B5" s="1">
        <v>3.39E-2</v>
      </c>
      <c r="C5" s="1">
        <v>0.16170000000000001</v>
      </c>
      <c r="D5" s="1">
        <f>C5-C5*('TAX reduces gains by'!$Y$3)</f>
        <v>0.11372575301204819</v>
      </c>
      <c r="E5" s="3">
        <v>1162</v>
      </c>
      <c r="F5" s="1">
        <v>0.16170000000000001</v>
      </c>
      <c r="I5">
        <v>1</v>
      </c>
      <c r="K5" s="35"/>
      <c r="L5" s="36" t="s">
        <v>7</v>
      </c>
      <c r="M5" s="38">
        <v>9.8400000000000001E-2</v>
      </c>
      <c r="N5" s="37"/>
      <c r="P5">
        <v>3</v>
      </c>
      <c r="Q5" s="6">
        <f>R4-R2</f>
        <v>102347.22574400002</v>
      </c>
      <c r="R5" s="6">
        <f>Q5*(1+R1)</f>
        <v>110173.71809664372</v>
      </c>
      <c r="T5">
        <v>3</v>
      </c>
      <c r="U5" s="6">
        <f>V4-V2</f>
        <v>94975.264324902382</v>
      </c>
      <c r="V5" s="6">
        <f>U5*(1+V1)</f>
        <v>99908.414722047426</v>
      </c>
    </row>
    <row r="6" spans="1:23" ht="15.75" thickBot="1" x14ac:dyDescent="0.3">
      <c r="A6">
        <v>2001</v>
      </c>
      <c r="B6" s="1">
        <v>1.55E-2</v>
      </c>
      <c r="C6" s="1">
        <v>7.3899999999999993E-2</v>
      </c>
      <c r="D6" s="1">
        <f>C6-C6*('TAX reduces gains by'!$Y$3)</f>
        <v>5.1974849397590353E-2</v>
      </c>
      <c r="E6" s="3">
        <v>1248</v>
      </c>
      <c r="F6" s="1">
        <v>7.3899999999999993E-2</v>
      </c>
      <c r="I6">
        <v>2</v>
      </c>
      <c r="P6">
        <v>4</v>
      </c>
      <c r="Q6" s="6">
        <f>R5-R2</f>
        <v>70173.718096643715</v>
      </c>
      <c r="R6" s="6">
        <f>Q6*(1+R1)</f>
        <v>75539.902319494067</v>
      </c>
      <c r="T6">
        <v>4</v>
      </c>
      <c r="U6" s="6">
        <f>V5-V2</f>
        <v>59908.414722047426</v>
      </c>
      <c r="V6" s="6">
        <f>U6*(1+V1)</f>
        <v>63020.143043933327</v>
      </c>
    </row>
    <row r="7" spans="1:23" x14ac:dyDescent="0.25">
      <c r="A7">
        <v>2002</v>
      </c>
      <c r="B7" s="1">
        <v>2.3800000000000002E-2</v>
      </c>
      <c r="C7" s="1">
        <v>4.6399999999999997E-2</v>
      </c>
      <c r="D7" s="1">
        <f>C7-C7*('TAX reduces gains by'!$Y$3)</f>
        <v>3.2633734939759032E-2</v>
      </c>
      <c r="E7" s="3">
        <v>1305</v>
      </c>
      <c r="F7" s="1">
        <v>4.6399999999999997E-2</v>
      </c>
      <c r="I7">
        <v>3</v>
      </c>
      <c r="K7" s="113" t="s">
        <v>139</v>
      </c>
      <c r="L7" s="114" t="s">
        <v>6</v>
      </c>
      <c r="M7" s="115">
        <f>D4*5</f>
        <v>0.25970711596385537</v>
      </c>
      <c r="N7" s="116">
        <f>M7/M8</f>
        <v>2.6392999589822699</v>
      </c>
      <c r="P7">
        <v>5</v>
      </c>
      <c r="Q7" s="6">
        <f>R6-R2</f>
        <v>35539.902319494067</v>
      </c>
      <c r="R7" s="109">
        <f>Q7*(1+R1)</f>
        <v>38257.638649865781</v>
      </c>
      <c r="T7">
        <v>5</v>
      </c>
      <c r="U7" s="6">
        <f>V6-V2</f>
        <v>23020.143043933327</v>
      </c>
      <c r="V7" s="109">
        <f>U7*(1+V1)</f>
        <v>24215.842035736394</v>
      </c>
    </row>
    <row r="8" spans="1:23" ht="15.75" thickBot="1" x14ac:dyDescent="0.3">
      <c r="A8">
        <v>2003</v>
      </c>
      <c r="B8" s="1">
        <v>1.8800000000000001E-2</v>
      </c>
      <c r="C8" s="1">
        <v>9.6600000000000005E-2</v>
      </c>
      <c r="D8" s="1">
        <f>C8-C8*('TAX reduces gains by'!$Y$3)</f>
        <v>6.7940060240963857E-2</v>
      </c>
      <c r="E8" s="3">
        <v>1431</v>
      </c>
      <c r="F8" s="1">
        <v>9.6600000000000005E-2</v>
      </c>
      <c r="I8">
        <v>4</v>
      </c>
      <c r="K8" s="117"/>
      <c r="L8" s="118" t="s">
        <v>7</v>
      </c>
      <c r="M8" s="119">
        <f>M5</f>
        <v>9.8400000000000001E-2</v>
      </c>
      <c r="N8" s="120"/>
    </row>
    <row r="9" spans="1:23" ht="15.75" thickBot="1" x14ac:dyDescent="0.3">
      <c r="A9">
        <v>2004</v>
      </c>
      <c r="B9" s="1">
        <v>3.2599999999999997E-2</v>
      </c>
      <c r="C9" s="1">
        <v>7.5499999999999998E-2</v>
      </c>
      <c r="D9" s="1">
        <f>C9-C9*('TAX reduces gains by'!$Y$3)</f>
        <v>5.3100150602409635E-2</v>
      </c>
      <c r="E9" s="3">
        <v>1540</v>
      </c>
      <c r="F9" s="1">
        <v>7.5499999999999998E-2</v>
      </c>
      <c r="I9">
        <v>5</v>
      </c>
    </row>
    <row r="10" spans="1:23" x14ac:dyDescent="0.25">
      <c r="A10">
        <v>2005</v>
      </c>
      <c r="B10" s="1">
        <v>3.4200000000000001E-2</v>
      </c>
      <c r="C10" s="1">
        <v>3.4799999999999998E-2</v>
      </c>
      <c r="D10" s="1">
        <f>C10-C10*('TAX reduces gains by'!$Y$3)</f>
        <v>2.4475301204819274E-2</v>
      </c>
      <c r="E10" s="3">
        <v>1593</v>
      </c>
      <c r="F10" s="1">
        <v>3.4799999999999998E-2</v>
      </c>
      <c r="I10">
        <v>6</v>
      </c>
      <c r="K10" s="241" t="s">
        <v>184</v>
      </c>
      <c r="L10" s="242" t="s">
        <v>6</v>
      </c>
      <c r="M10" s="243">
        <f>(C4-C4*'TAX reduces gains by'!Y17)*5</f>
        <v>0.26891182228915667</v>
      </c>
      <c r="N10" s="244">
        <f>M10/M11</f>
        <v>2.7328437224507791</v>
      </c>
      <c r="P10" t="s">
        <v>10</v>
      </c>
      <c r="T10" t="s">
        <v>10</v>
      </c>
    </row>
    <row r="11" spans="1:23" ht="15.75" thickBot="1" x14ac:dyDescent="0.3">
      <c r="A11">
        <v>2006</v>
      </c>
      <c r="B11" s="1">
        <v>2.5399999999999999E-2</v>
      </c>
      <c r="C11" s="1">
        <v>0.1128</v>
      </c>
      <c r="D11" s="1">
        <f>C11-C11*('TAX reduces gains by'!$Y$3)</f>
        <v>7.9333734939759037E-2</v>
      </c>
      <c r="E11" s="3">
        <v>1773</v>
      </c>
      <c r="F11" s="1">
        <v>0.1128</v>
      </c>
      <c r="I11">
        <v>7</v>
      </c>
      <c r="K11" s="245" t="s">
        <v>183</v>
      </c>
      <c r="L11" s="246" t="s">
        <v>7</v>
      </c>
      <c r="M11" s="247">
        <f>M8</f>
        <v>9.8400000000000001E-2</v>
      </c>
      <c r="N11" s="248"/>
      <c r="P11" t="s">
        <v>11</v>
      </c>
      <c r="T11" t="s">
        <v>11</v>
      </c>
    </row>
    <row r="12" spans="1:23" x14ac:dyDescent="0.25">
      <c r="A12">
        <v>2007</v>
      </c>
      <c r="B12" s="1">
        <v>4.0800000000000003E-2</v>
      </c>
      <c r="C12" s="1">
        <v>5.6099999999999997E-2</v>
      </c>
      <c r="D12" s="1">
        <f>C12-C12*('TAX reduces gains by'!$Y$3)</f>
        <v>3.9455873493975904E-2</v>
      </c>
      <c r="E12" s="3">
        <v>1872</v>
      </c>
      <c r="F12" s="1">
        <v>5.6099999999999997E-2</v>
      </c>
      <c r="I12">
        <v>8</v>
      </c>
    </row>
    <row r="13" spans="1:23" x14ac:dyDescent="0.25">
      <c r="A13">
        <v>2008</v>
      </c>
      <c r="B13" s="1">
        <v>8.9999999999999998E-4</v>
      </c>
      <c r="C13" s="108">
        <v>-9.8400000000000001E-2</v>
      </c>
      <c r="D13" s="1">
        <f>C13</f>
        <v>-9.8400000000000001E-2</v>
      </c>
      <c r="E13" s="3">
        <v>1688</v>
      </c>
      <c r="F13" s="1">
        <v>-9.8400000000000001E-2</v>
      </c>
      <c r="I13">
        <v>9</v>
      </c>
    </row>
    <row r="14" spans="1:23" x14ac:dyDescent="0.25">
      <c r="A14">
        <v>2009</v>
      </c>
      <c r="B14" s="1">
        <v>2.7199999999999998E-2</v>
      </c>
      <c r="C14" s="1">
        <v>0.16020000000000001</v>
      </c>
      <c r="D14" s="1">
        <f>C14-C14*('TAX reduces gains by'!$Y$3)</f>
        <v>0.11267078313253012</v>
      </c>
      <c r="E14" s="3">
        <v>1958</v>
      </c>
      <c r="F14" s="1">
        <v>0.16020000000000001</v>
      </c>
      <c r="I14">
        <v>10</v>
      </c>
    </row>
    <row r="15" spans="1:23" x14ac:dyDescent="0.25">
      <c r="A15">
        <v>2010</v>
      </c>
      <c r="B15" s="1">
        <v>1.4999999999999999E-2</v>
      </c>
      <c r="C15" s="1">
        <v>0.1065</v>
      </c>
      <c r="D15" s="1">
        <f>C15-C15*('TAX reduces gains by'!$Y$3)</f>
        <v>7.490286144578312E-2</v>
      </c>
      <c r="E15" s="3">
        <v>2167</v>
      </c>
      <c r="F15" s="1">
        <v>0.1065</v>
      </c>
      <c r="I15">
        <v>11</v>
      </c>
    </row>
    <row r="16" spans="1:23" x14ac:dyDescent="0.25">
      <c r="A16">
        <v>2011</v>
      </c>
      <c r="B16" s="1">
        <v>2.9600000000000001E-2</v>
      </c>
      <c r="C16" s="1">
        <v>9.6299999999999997E-2</v>
      </c>
      <c r="D16" s="1">
        <f>C16-C16*('TAX reduces gains by'!$Y$3)</f>
        <v>6.7729066265060228E-2</v>
      </c>
      <c r="E16" s="3">
        <v>2376</v>
      </c>
      <c r="F16" s="1">
        <v>9.6299999999999997E-2</v>
      </c>
      <c r="I16">
        <v>12</v>
      </c>
    </row>
    <row r="17" spans="1:15" x14ac:dyDescent="0.25">
      <c r="A17">
        <v>2012</v>
      </c>
      <c r="B17" s="1">
        <v>1.7399999999999999E-2</v>
      </c>
      <c r="C17" s="1">
        <v>0.10059999999999999</v>
      </c>
      <c r="D17" s="1">
        <f>C17-C17*('TAX reduces gains by'!$Y$3)</f>
        <v>7.075331325301204E-2</v>
      </c>
      <c r="E17" s="3">
        <v>2615</v>
      </c>
      <c r="F17" s="1">
        <v>0.10059999999999999</v>
      </c>
      <c r="I17">
        <v>13</v>
      </c>
    </row>
    <row r="18" spans="1:15" x14ac:dyDescent="0.25">
      <c r="A18">
        <v>2013</v>
      </c>
      <c r="B18" s="1">
        <v>1.4999999999999999E-2</v>
      </c>
      <c r="C18" s="1">
        <v>9.1899999999999996E-2</v>
      </c>
      <c r="D18" s="1">
        <f>C18-C18*('TAX reduces gains by'!$Y$3)</f>
        <v>6.4634487951807221E-2</v>
      </c>
      <c r="E18" s="3">
        <v>2855</v>
      </c>
      <c r="F18" s="1">
        <v>9.1899999999999996E-2</v>
      </c>
      <c r="I18">
        <v>14</v>
      </c>
    </row>
    <row r="19" spans="1:15" x14ac:dyDescent="0.25">
      <c r="A19">
        <v>2014</v>
      </c>
      <c r="B19" s="1">
        <v>7.6E-3</v>
      </c>
      <c r="C19" s="1">
        <v>8.0699999999999994E-2</v>
      </c>
      <c r="D19" s="1">
        <f>C19-C19*('TAX reduces gains by'!$Y$3)</f>
        <v>5.6757379518072283E-2</v>
      </c>
      <c r="E19" s="3">
        <v>3085</v>
      </c>
      <c r="F19" s="1">
        <v>8.0699999999999994E-2</v>
      </c>
      <c r="I19">
        <v>15</v>
      </c>
    </row>
    <row r="20" spans="1:15" x14ac:dyDescent="0.25">
      <c r="A20">
        <v>2015</v>
      </c>
      <c r="B20" s="1">
        <v>7.3000000000000001E-3</v>
      </c>
      <c r="C20" s="1">
        <v>1.2800000000000001E-2</v>
      </c>
      <c r="D20" s="1">
        <f>C20-C20*('TAX reduces gains by'!$Y$3)</f>
        <v>9.0024096385542176E-3</v>
      </c>
      <c r="E20" s="3">
        <v>3124</v>
      </c>
      <c r="F20" s="1">
        <v>1.2800000000000001E-2</v>
      </c>
      <c r="I20">
        <v>16</v>
      </c>
    </row>
    <row r="21" spans="1:15" x14ac:dyDescent="0.25">
      <c r="A21">
        <v>2016</v>
      </c>
      <c r="B21" s="1">
        <v>2.07E-2</v>
      </c>
      <c r="C21" s="1">
        <v>8.0799999999999997E-2</v>
      </c>
      <c r="D21" s="1">
        <f>C21-C21*('TAX reduces gains by'!$Y$3)</f>
        <v>5.6827710843373486E-2</v>
      </c>
      <c r="E21" s="3">
        <v>3377</v>
      </c>
      <c r="F21" s="1">
        <v>8.0799999999999997E-2</v>
      </c>
      <c r="I21">
        <v>17</v>
      </c>
    </row>
    <row r="22" spans="1:15" x14ac:dyDescent="0.25">
      <c r="A22">
        <v>2017</v>
      </c>
      <c r="B22" s="1">
        <v>2.1100000000000001E-2</v>
      </c>
      <c r="C22" s="1">
        <v>0.10199999999999999</v>
      </c>
      <c r="D22" s="1">
        <f>C22-C22*('TAX reduces gains by'!$Y$3)</f>
        <v>7.1737951807228917E-2</v>
      </c>
      <c r="E22" s="3">
        <v>3721</v>
      </c>
      <c r="F22" s="1">
        <v>0.10199999999999999</v>
      </c>
      <c r="I22">
        <v>18</v>
      </c>
    </row>
    <row r="23" spans="1:15" x14ac:dyDescent="0.25">
      <c r="A23">
        <v>2018</v>
      </c>
      <c r="B23" s="1">
        <v>1.9099999999999999E-2</v>
      </c>
      <c r="C23" s="108">
        <v>-2.5700000000000001E-2</v>
      </c>
      <c r="D23" s="1">
        <f>C23</f>
        <v>-2.5700000000000001E-2</v>
      </c>
      <c r="E23" s="3">
        <v>3626</v>
      </c>
      <c r="F23" s="1">
        <v>-2.5700000000000001E-2</v>
      </c>
      <c r="I23">
        <v>19</v>
      </c>
    </row>
    <row r="24" spans="1:15" x14ac:dyDescent="0.25">
      <c r="A24">
        <v>2019</v>
      </c>
      <c r="B24" s="1">
        <v>2.29E-2</v>
      </c>
      <c r="C24" s="1">
        <v>0.16389999999999999</v>
      </c>
      <c r="D24" s="1">
        <f>C24-C24*('TAX reduces gains by'!$Y$3)</f>
        <v>0.11527304216867468</v>
      </c>
      <c r="E24" s="3">
        <v>4220</v>
      </c>
      <c r="F24" s="1">
        <v>0.16389999999999999</v>
      </c>
      <c r="I24">
        <v>20</v>
      </c>
    </row>
    <row r="27" spans="1:15" x14ac:dyDescent="0.25">
      <c r="A27" t="s">
        <v>0</v>
      </c>
      <c r="B27" t="s">
        <v>18</v>
      </c>
      <c r="C27" t="s">
        <v>2</v>
      </c>
      <c r="E27" t="s">
        <v>3</v>
      </c>
      <c r="F27" t="s">
        <v>42</v>
      </c>
      <c r="K27" t="s">
        <v>140</v>
      </c>
    </row>
    <row r="28" spans="1:15" x14ac:dyDescent="0.25">
      <c r="A28" t="s">
        <v>20</v>
      </c>
      <c r="G28" t="s">
        <v>141</v>
      </c>
      <c r="H28">
        <v>200000</v>
      </c>
      <c r="K28" s="125">
        <f>'TAX reduces gains by'!Y5</f>
        <v>5.0991501416430489E-2</v>
      </c>
      <c r="L28" s="121" t="s">
        <v>150</v>
      </c>
    </row>
    <row r="29" spans="1:15" x14ac:dyDescent="0.25">
      <c r="G29" t="s">
        <v>142</v>
      </c>
      <c r="H29">
        <v>3333</v>
      </c>
      <c r="L29" t="s">
        <v>143</v>
      </c>
    </row>
    <row r="30" spans="1:15" x14ac:dyDescent="0.25">
      <c r="A30">
        <v>2008</v>
      </c>
      <c r="B30">
        <v>1</v>
      </c>
      <c r="C30" s="108">
        <v>-8.2000000000000007E-3</v>
      </c>
      <c r="D30" s="1"/>
      <c r="E30" s="3">
        <v>195017</v>
      </c>
      <c r="F30" s="1">
        <v>-8.2000000000000007E-3</v>
      </c>
      <c r="H30">
        <f>(H28-$H$29)</f>
        <v>196667</v>
      </c>
      <c r="I30" s="6">
        <f>H30+(H30*C30)</f>
        <v>195054.33059999999</v>
      </c>
      <c r="J30" t="s">
        <v>36</v>
      </c>
      <c r="K30" s="110"/>
      <c r="L30" s="6">
        <v>195054.33059999999</v>
      </c>
      <c r="M30" s="6">
        <f>E30</f>
        <v>195017</v>
      </c>
      <c r="N30" s="112">
        <f>1-M30/L30</f>
        <v>1.9138565078336001E-4</v>
      </c>
      <c r="O30" t="s">
        <v>155</v>
      </c>
    </row>
    <row r="31" spans="1:15" x14ac:dyDescent="0.25">
      <c r="A31">
        <v>2008</v>
      </c>
      <c r="B31">
        <v>2</v>
      </c>
      <c r="C31" s="108">
        <v>-1.29E-2</v>
      </c>
      <c r="D31" s="1"/>
      <c r="E31" s="3">
        <v>189161</v>
      </c>
      <c r="F31" s="1">
        <v>-1.29E-2</v>
      </c>
      <c r="H31" s="6">
        <f>(I30-$H$29)</f>
        <v>191721.33059999999</v>
      </c>
      <c r="I31" s="6">
        <f>H31+(H31*C31)</f>
        <v>189248.12543525998</v>
      </c>
    </row>
    <row r="32" spans="1:15" x14ac:dyDescent="0.25">
      <c r="A32">
        <v>2008</v>
      </c>
      <c r="B32">
        <v>3</v>
      </c>
      <c r="C32" s="1">
        <v>3.8E-3</v>
      </c>
      <c r="D32" s="1"/>
      <c r="E32" s="3">
        <v>186544</v>
      </c>
      <c r="F32" s="1">
        <v>3.8E-3</v>
      </c>
      <c r="H32" s="6">
        <f t="shared" ref="H32:H89" si="0">(I31-$H$29)</f>
        <v>185915.12543525998</v>
      </c>
      <c r="I32" s="6">
        <f t="shared" ref="I31:I33" si="1">H32+(H32*(C32-C32*$K$28))</f>
        <v>186585.57856466249</v>
      </c>
    </row>
    <row r="33" spans="1:9" x14ac:dyDescent="0.25">
      <c r="A33">
        <v>2008</v>
      </c>
      <c r="B33">
        <v>4</v>
      </c>
      <c r="C33" s="1">
        <v>1.18E-2</v>
      </c>
      <c r="D33" s="1"/>
      <c r="E33" s="3">
        <v>185410</v>
      </c>
      <c r="F33" s="1">
        <v>1.18E-2</v>
      </c>
      <c r="H33" s="6">
        <f t="shared" si="0"/>
        <v>183252.57856466249</v>
      </c>
      <c r="I33" s="6">
        <f t="shared" si="1"/>
        <v>185304.69596711604</v>
      </c>
    </row>
    <row r="34" spans="1:9" x14ac:dyDescent="0.25">
      <c r="A34">
        <v>2008</v>
      </c>
      <c r="B34">
        <v>5</v>
      </c>
      <c r="C34" s="108">
        <v>-5.5999999999999999E-3</v>
      </c>
      <c r="D34" s="1"/>
      <c r="E34" s="3">
        <v>181040</v>
      </c>
      <c r="F34" s="1">
        <v>-5.5999999999999999E-3</v>
      </c>
      <c r="H34" s="6">
        <f t="shared" si="0"/>
        <v>181971.69596711604</v>
      </c>
      <c r="I34" s="6">
        <f>H34+(H34*C34)</f>
        <v>180952.65446970018</v>
      </c>
    </row>
    <row r="35" spans="1:9" x14ac:dyDescent="0.25">
      <c r="A35">
        <v>2008</v>
      </c>
      <c r="B35">
        <v>6</v>
      </c>
      <c r="C35" s="108">
        <v>-3.4099999999999998E-2</v>
      </c>
      <c r="D35" s="1"/>
      <c r="E35" s="3">
        <v>171533</v>
      </c>
      <c r="F35" s="1">
        <v>-3.4099999999999998E-2</v>
      </c>
      <c r="H35" s="6">
        <f t="shared" si="0"/>
        <v>177619.65446970018</v>
      </c>
      <c r="I35" s="6">
        <f>H35+(H35*C35)</f>
        <v>171562.8242522834</v>
      </c>
    </row>
    <row r="36" spans="1:9" x14ac:dyDescent="0.25">
      <c r="A36">
        <v>2008</v>
      </c>
      <c r="B36">
        <v>7</v>
      </c>
      <c r="C36" s="1">
        <v>1.5E-3</v>
      </c>
      <c r="D36" s="1"/>
      <c r="E36" s="3">
        <v>168453</v>
      </c>
      <c r="F36" s="1">
        <v>1.5E-3</v>
      </c>
      <c r="H36" s="6">
        <f t="shared" si="0"/>
        <v>168229.8242522834</v>
      </c>
      <c r="I36" s="6">
        <f t="shared" ref="I36:I37" si="2">H36+(H36*(C36-C36*$K$28))</f>
        <v>168469.30155167935</v>
      </c>
    </row>
    <row r="37" spans="1:9" x14ac:dyDescent="0.25">
      <c r="A37">
        <v>2008</v>
      </c>
      <c r="B37">
        <v>8</v>
      </c>
      <c r="C37" s="1">
        <v>7.7999999999999996E-3</v>
      </c>
      <c r="D37" s="1"/>
      <c r="E37" s="3">
        <v>166442</v>
      </c>
      <c r="F37" s="1">
        <v>7.7999999999999996E-3</v>
      </c>
      <c r="H37" s="6">
        <f t="shared" si="0"/>
        <v>165136.30155167935</v>
      </c>
      <c r="I37" s="6">
        <f t="shared" si="2"/>
        <v>166358.68442973754</v>
      </c>
    </row>
    <row r="38" spans="1:9" x14ac:dyDescent="0.25">
      <c r="A38">
        <v>2008</v>
      </c>
      <c r="B38">
        <v>9</v>
      </c>
      <c r="C38" s="108">
        <v>-3.4700000000000002E-2</v>
      </c>
      <c r="D38" s="1"/>
      <c r="E38" s="3">
        <v>157331</v>
      </c>
      <c r="F38" s="1">
        <v>-3.4700000000000002E-2</v>
      </c>
      <c r="H38" s="6">
        <f t="shared" si="0"/>
        <v>163025.68442973754</v>
      </c>
      <c r="I38" s="6">
        <f>H38+(H38*C38)</f>
        <v>157368.69318002564</v>
      </c>
    </row>
    <row r="39" spans="1:9" x14ac:dyDescent="0.25">
      <c r="A39">
        <v>2008</v>
      </c>
      <c r="B39">
        <v>10</v>
      </c>
      <c r="C39" s="108">
        <v>-7.1900000000000006E-2</v>
      </c>
      <c r="D39" s="1"/>
      <c r="E39" s="3">
        <v>142680</v>
      </c>
      <c r="F39" s="1">
        <v>-7.1900000000000006E-2</v>
      </c>
      <c r="H39" s="6">
        <f t="shared" si="0"/>
        <v>154035.69318002564</v>
      </c>
      <c r="I39" s="6">
        <f>H39+(H39*C39)</f>
        <v>142960.52684038179</v>
      </c>
    </row>
    <row r="40" spans="1:9" x14ac:dyDescent="0.25">
      <c r="A40">
        <v>2008</v>
      </c>
      <c r="B40">
        <v>11</v>
      </c>
      <c r="C40" s="1">
        <v>3.3E-3</v>
      </c>
      <c r="D40" s="1"/>
      <c r="E40" s="3">
        <v>139817</v>
      </c>
      <c r="F40" s="1">
        <v>3.3E-3</v>
      </c>
      <c r="H40" s="6">
        <f t="shared" si="0"/>
        <v>139627.52684038179</v>
      </c>
      <c r="I40" s="6">
        <f t="shared" ref="I40:I41" si="3">H40+(H40*(C40-C40*$K$28))</f>
        <v>140064.8022820873</v>
      </c>
    </row>
    <row r="41" spans="1:9" x14ac:dyDescent="0.25">
      <c r="A41">
        <v>2008</v>
      </c>
      <c r="B41">
        <v>12</v>
      </c>
      <c r="C41" s="1">
        <v>4.07E-2</v>
      </c>
      <c r="D41" s="1"/>
      <c r="E41" s="3">
        <v>142177</v>
      </c>
      <c r="F41" s="1">
        <v>4.07E-2</v>
      </c>
      <c r="H41" s="6">
        <f t="shared" si="0"/>
        <v>136731.8022820873</v>
      </c>
      <c r="I41" s="6">
        <f t="shared" si="3"/>
        <v>142013.01972745592</v>
      </c>
    </row>
    <row r="42" spans="1:9" x14ac:dyDescent="0.25">
      <c r="A42">
        <v>2009</v>
      </c>
      <c r="B42">
        <v>1</v>
      </c>
      <c r="C42" s="108">
        <v>-4.6199999999999998E-2</v>
      </c>
      <c r="D42" s="1"/>
      <c r="E42" s="3">
        <v>132276</v>
      </c>
      <c r="F42" s="1">
        <v>-4.6199999999999998E-2</v>
      </c>
      <c r="H42" s="6">
        <f t="shared" si="0"/>
        <v>138680.01972745592</v>
      </c>
      <c r="I42" s="6">
        <f>H42+(H42*C42)</f>
        <v>132273.00281604746</v>
      </c>
    </row>
    <row r="43" spans="1:9" x14ac:dyDescent="0.25">
      <c r="A43">
        <v>2009</v>
      </c>
      <c r="B43">
        <v>2</v>
      </c>
      <c r="C43" s="108">
        <v>-4.9599999999999998E-2</v>
      </c>
      <c r="D43" s="1"/>
      <c r="E43" s="3">
        <v>122386</v>
      </c>
      <c r="F43" s="1">
        <v>-4.9599999999999998E-2</v>
      </c>
      <c r="H43" s="6">
        <f t="shared" si="0"/>
        <v>128940.00281604746</v>
      </c>
      <c r="I43" s="6">
        <f>H43+(H43*C43)</f>
        <v>122544.57867637152</v>
      </c>
    </row>
    <row r="44" spans="1:9" x14ac:dyDescent="0.25">
      <c r="A44">
        <v>2009</v>
      </c>
      <c r="B44">
        <v>3</v>
      </c>
      <c r="C44" s="1">
        <v>2.9399999999999999E-2</v>
      </c>
      <c r="D44" s="1"/>
      <c r="E44" s="3">
        <v>122645</v>
      </c>
      <c r="F44" s="1">
        <v>2.9399999999999999E-2</v>
      </c>
      <c r="H44" s="6">
        <f t="shared" si="0"/>
        <v>119211.57867637152</v>
      </c>
      <c r="I44" s="6">
        <f t="shared" ref="I44:I52" si="4">H44+(H44*(C44-C44*$K$28))</f>
        <v>122537.68303439867</v>
      </c>
    </row>
    <row r="45" spans="1:9" x14ac:dyDescent="0.25">
      <c r="A45">
        <v>2009</v>
      </c>
      <c r="B45">
        <v>4</v>
      </c>
      <c r="C45" s="1">
        <v>3.5400000000000001E-2</v>
      </c>
      <c r="D45" s="1"/>
      <c r="E45" s="3">
        <v>123656</v>
      </c>
      <c r="F45" s="1">
        <v>3.5400000000000001E-2</v>
      </c>
      <c r="H45" s="6">
        <f t="shared" si="0"/>
        <v>119204.68303439867</v>
      </c>
      <c r="I45" s="6">
        <f t="shared" si="4"/>
        <v>123209.35254177808</v>
      </c>
    </row>
    <row r="46" spans="1:9" x14ac:dyDescent="0.25">
      <c r="A46">
        <v>2009</v>
      </c>
      <c r="B46">
        <v>5</v>
      </c>
      <c r="C46" s="1">
        <v>4.3900000000000002E-2</v>
      </c>
      <c r="D46" s="1"/>
      <c r="E46" s="3">
        <v>125752</v>
      </c>
      <c r="F46" s="1">
        <v>4.3900000000000002E-2</v>
      </c>
      <c r="H46" s="6">
        <f t="shared" si="0"/>
        <v>119876.35254177808</v>
      </c>
      <c r="I46" s="6">
        <f t="shared" si="4"/>
        <v>124870.57797706324</v>
      </c>
    </row>
    <row r="47" spans="1:9" x14ac:dyDescent="0.25">
      <c r="A47">
        <v>2009</v>
      </c>
      <c r="B47">
        <v>6</v>
      </c>
      <c r="C47" s="1">
        <v>1.2500000000000001E-2</v>
      </c>
      <c r="D47" s="1"/>
      <c r="E47" s="3">
        <v>123993</v>
      </c>
      <c r="F47" s="1">
        <v>1.2500000000000001E-2</v>
      </c>
      <c r="H47" s="6">
        <f t="shared" si="0"/>
        <v>121537.57797706324</v>
      </c>
      <c r="I47" s="6">
        <f t="shared" si="4"/>
        <v>122979.33040703194</v>
      </c>
    </row>
    <row r="48" spans="1:9" x14ac:dyDescent="0.25">
      <c r="A48">
        <v>2009</v>
      </c>
      <c r="B48">
        <v>7</v>
      </c>
      <c r="C48" s="1">
        <v>5.6800000000000003E-2</v>
      </c>
      <c r="D48" s="1"/>
      <c r="E48" s="3">
        <v>127699</v>
      </c>
      <c r="F48" s="1">
        <v>5.6800000000000003E-2</v>
      </c>
      <c r="H48" s="6">
        <f t="shared" si="0"/>
        <v>119646.33040703194</v>
      </c>
      <c r="I48" s="6">
        <f t="shared" si="4"/>
        <v>126095.70823985065</v>
      </c>
    </row>
    <row r="49" spans="1:9" x14ac:dyDescent="0.25">
      <c r="A49">
        <v>2009</v>
      </c>
      <c r="B49">
        <v>8</v>
      </c>
      <c r="C49" s="1">
        <v>2.3199999999999998E-2</v>
      </c>
      <c r="D49" s="1"/>
      <c r="E49" s="3">
        <v>127334</v>
      </c>
      <c r="F49" s="1">
        <v>2.3199999999999998E-2</v>
      </c>
      <c r="H49" s="6">
        <f t="shared" si="0"/>
        <v>122762.70823985065</v>
      </c>
      <c r="I49" s="6">
        <f t="shared" si="4"/>
        <v>125465.57443939772</v>
      </c>
    </row>
    <row r="50" spans="1:9" x14ac:dyDescent="0.25">
      <c r="A50">
        <v>2009</v>
      </c>
      <c r="B50">
        <v>9</v>
      </c>
      <c r="C50" s="1">
        <v>1.8700000000000001E-2</v>
      </c>
      <c r="D50" s="1"/>
      <c r="E50" s="3">
        <v>126377</v>
      </c>
      <c r="F50" s="1">
        <v>1.8700000000000001E-2</v>
      </c>
      <c r="H50" s="6">
        <f t="shared" si="0"/>
        <v>122132.57443939772</v>
      </c>
      <c r="I50" s="6">
        <f t="shared" si="4"/>
        <v>124299.99515490935</v>
      </c>
    </row>
    <row r="51" spans="1:9" x14ac:dyDescent="0.25">
      <c r="A51">
        <v>2009</v>
      </c>
      <c r="B51">
        <v>10</v>
      </c>
      <c r="C51" s="108">
        <v>-5.0000000000000001E-4</v>
      </c>
      <c r="D51" s="1"/>
      <c r="E51" s="3">
        <v>122981</v>
      </c>
      <c r="F51" s="1">
        <v>-5.0000000000000001E-4</v>
      </c>
      <c r="H51" s="6">
        <f t="shared" si="0"/>
        <v>120966.99515490935</v>
      </c>
      <c r="I51" s="6">
        <f>H51+(H51*C51)</f>
        <v>120906.5116573319</v>
      </c>
    </row>
    <row r="52" spans="1:9" x14ac:dyDescent="0.25">
      <c r="A52">
        <v>2009</v>
      </c>
      <c r="B52">
        <v>11</v>
      </c>
      <c r="C52" s="1">
        <v>3.2000000000000001E-2</v>
      </c>
      <c r="D52" s="1"/>
      <c r="E52" s="3">
        <v>123589</v>
      </c>
      <c r="F52" s="1">
        <v>3.2000000000000001E-2</v>
      </c>
      <c r="H52" s="6">
        <f t="shared" si="0"/>
        <v>117573.5116573319</v>
      </c>
      <c r="I52" s="6">
        <f t="shared" si="4"/>
        <v>121144.01603400781</v>
      </c>
    </row>
    <row r="53" spans="1:9" x14ac:dyDescent="0.25">
      <c r="A53">
        <v>2009</v>
      </c>
      <c r="B53">
        <v>12</v>
      </c>
      <c r="C53" s="108">
        <v>-1E-4</v>
      </c>
      <c r="D53" s="1"/>
      <c r="E53" s="3">
        <v>120244</v>
      </c>
      <c r="F53" s="1">
        <v>-1E-4</v>
      </c>
      <c r="H53" s="6">
        <f t="shared" si="0"/>
        <v>117811.01603400781</v>
      </c>
      <c r="I53" s="6">
        <f>H53+(H53*C53)</f>
        <v>117799.23493240442</v>
      </c>
    </row>
    <row r="54" spans="1:9" x14ac:dyDescent="0.25">
      <c r="A54">
        <v>2010</v>
      </c>
      <c r="B54">
        <v>1</v>
      </c>
      <c r="C54" s="108">
        <v>-2.8999999999999998E-3</v>
      </c>
      <c r="D54" s="1"/>
      <c r="E54" s="3">
        <v>116557</v>
      </c>
      <c r="F54" s="1">
        <v>-2.8999999999999998E-3</v>
      </c>
      <c r="H54" s="6">
        <f t="shared" si="0"/>
        <v>114466.23493240442</v>
      </c>
      <c r="I54" s="6">
        <f>H54+(H54*C54)</f>
        <v>114134.28285110045</v>
      </c>
    </row>
    <row r="55" spans="1:9" x14ac:dyDescent="0.25">
      <c r="A55">
        <v>2010</v>
      </c>
      <c r="B55">
        <v>2</v>
      </c>
      <c r="C55" s="1">
        <v>1.0800000000000001E-2</v>
      </c>
      <c r="D55" s="1"/>
      <c r="E55" s="3">
        <v>114486</v>
      </c>
      <c r="F55" s="1">
        <v>1.0800000000000001E-2</v>
      </c>
      <c r="H55" s="6">
        <f t="shared" si="0"/>
        <v>110801.28285110045</v>
      </c>
      <c r="I55" s="6">
        <f t="shared" ref="I55:I72" si="5">H55+(H55*(C55-C55*$K$28))</f>
        <v>111936.91752916074</v>
      </c>
    </row>
    <row r="56" spans="1:9" x14ac:dyDescent="0.25">
      <c r="A56">
        <v>2010</v>
      </c>
      <c r="B56">
        <v>3</v>
      </c>
      <c r="C56" s="1">
        <v>1.9900000000000001E-2</v>
      </c>
      <c r="D56" s="1"/>
      <c r="E56" s="3">
        <v>113429</v>
      </c>
      <c r="F56" s="1">
        <v>1.9900000000000001E-2</v>
      </c>
      <c r="H56" s="6">
        <f t="shared" si="0"/>
        <v>108603.91752916074</v>
      </c>
      <c r="I56" s="6">
        <f t="shared" si="5"/>
        <v>110654.93173938213</v>
      </c>
    </row>
    <row r="57" spans="1:9" x14ac:dyDescent="0.25">
      <c r="A57">
        <v>2010</v>
      </c>
      <c r="B57">
        <v>4</v>
      </c>
      <c r="C57" s="1">
        <v>1.49E-2</v>
      </c>
      <c r="D57" s="1"/>
      <c r="E57" s="3">
        <v>111791</v>
      </c>
      <c r="F57" s="1">
        <v>1.49E-2</v>
      </c>
      <c r="H57" s="6">
        <f t="shared" si="0"/>
        <v>107321.93173938213</v>
      </c>
      <c r="I57" s="6">
        <f t="shared" si="5"/>
        <v>108839.48817642781</v>
      </c>
    </row>
    <row r="58" spans="1:9" x14ac:dyDescent="0.25">
      <c r="A58">
        <v>2010</v>
      </c>
      <c r="B58">
        <v>5</v>
      </c>
      <c r="C58" s="108">
        <v>-2.7099999999999999E-2</v>
      </c>
      <c r="D58" s="1"/>
      <c r="E58" s="3">
        <v>105432</v>
      </c>
      <c r="F58" s="1">
        <v>-2.7099999999999999E-2</v>
      </c>
      <c r="H58" s="6">
        <f t="shared" si="0"/>
        <v>105506.48817642781</v>
      </c>
      <c r="I58" s="6">
        <f>H58+(H58*C58)</f>
        <v>102647.26234684662</v>
      </c>
    </row>
    <row r="59" spans="1:9" x14ac:dyDescent="0.25">
      <c r="A59">
        <v>2010</v>
      </c>
      <c r="B59">
        <v>6</v>
      </c>
      <c r="C59" s="1">
        <v>1.9E-3</v>
      </c>
      <c r="D59" s="1"/>
      <c r="E59" s="3">
        <v>102302</v>
      </c>
      <c r="F59" s="1">
        <v>1.9E-3</v>
      </c>
      <c r="H59" s="6">
        <f t="shared" si="0"/>
        <v>99314.262346846619</v>
      </c>
      <c r="I59" s="6">
        <f t="shared" si="5"/>
        <v>99493.337496942273</v>
      </c>
    </row>
    <row r="60" spans="1:9" x14ac:dyDescent="0.25">
      <c r="A60">
        <v>2010</v>
      </c>
      <c r="B60">
        <v>7</v>
      </c>
      <c r="C60" s="1">
        <v>3.49E-2</v>
      </c>
      <c r="D60" s="1"/>
      <c r="E60" s="3">
        <v>102541</v>
      </c>
      <c r="F60" s="1">
        <v>3.49E-2</v>
      </c>
      <c r="H60" s="6">
        <f t="shared" si="0"/>
        <v>96160.337496942273</v>
      </c>
      <c r="I60" s="6">
        <f t="shared" si="5"/>
        <v>99345.206012085342</v>
      </c>
    </row>
    <row r="61" spans="1:9" x14ac:dyDescent="0.25">
      <c r="A61">
        <v>2010</v>
      </c>
      <c r="B61">
        <v>8</v>
      </c>
      <c r="C61" s="1">
        <v>8.6E-3</v>
      </c>
      <c r="D61" s="1"/>
      <c r="E61" s="3">
        <v>100086</v>
      </c>
      <c r="F61" s="1">
        <v>8.6E-3</v>
      </c>
      <c r="H61" s="6">
        <f t="shared" si="0"/>
        <v>96012.206012085342</v>
      </c>
      <c r="I61" s="6">
        <f t="shared" si="5"/>
        <v>96795.807047555078</v>
      </c>
    </row>
    <row r="62" spans="1:9" x14ac:dyDescent="0.25">
      <c r="A62">
        <v>2010</v>
      </c>
      <c r="B62">
        <v>9</v>
      </c>
      <c r="C62" s="1">
        <v>2.7E-2</v>
      </c>
      <c r="D62" s="1"/>
      <c r="E62" s="3">
        <v>99460</v>
      </c>
      <c r="F62" s="1">
        <v>2.7E-2</v>
      </c>
      <c r="H62" s="6">
        <f t="shared" si="0"/>
        <v>93462.807047555078</v>
      </c>
      <c r="I62" s="6">
        <f t="shared" si="5"/>
        <v>95857.625998674441</v>
      </c>
    </row>
    <row r="63" spans="1:9" x14ac:dyDescent="0.25">
      <c r="A63">
        <v>2010</v>
      </c>
      <c r="B63">
        <v>10</v>
      </c>
      <c r="C63" s="1">
        <v>8.8000000000000005E-3</v>
      </c>
      <c r="D63" s="1"/>
      <c r="E63" s="3">
        <v>97002</v>
      </c>
      <c r="F63" s="1">
        <v>8.8000000000000005E-3</v>
      </c>
      <c r="H63" s="6">
        <f t="shared" si="0"/>
        <v>92524.625998674441</v>
      </c>
      <c r="I63" s="6">
        <f>H63+(H63*(C63-C63*$K$28))</f>
        <v>93297.324575003309</v>
      </c>
    </row>
    <row r="64" spans="1:9" x14ac:dyDescent="0.25">
      <c r="A64">
        <v>2010</v>
      </c>
      <c r="B64">
        <v>11</v>
      </c>
      <c r="C64" s="108">
        <v>-9.1999999999999998E-3</v>
      </c>
      <c r="D64" s="1"/>
      <c r="E64" s="3">
        <v>92779</v>
      </c>
      <c r="F64" s="1">
        <v>-9.1999999999999998E-3</v>
      </c>
      <c r="H64" s="6">
        <f t="shared" si="0"/>
        <v>89964.324575003309</v>
      </c>
      <c r="I64" s="6">
        <f>H64+(H64*C64)</f>
        <v>89136.652788913285</v>
      </c>
    </row>
    <row r="65" spans="1:9" x14ac:dyDescent="0.25">
      <c r="A65">
        <v>2010</v>
      </c>
      <c r="B65">
        <v>12</v>
      </c>
      <c r="C65" s="1">
        <v>1.54E-2</v>
      </c>
      <c r="D65" s="1"/>
      <c r="E65" s="3">
        <v>90874</v>
      </c>
      <c r="F65" s="1">
        <v>1.54E-2</v>
      </c>
      <c r="H65" s="6">
        <f t="shared" si="0"/>
        <v>85803.652788913285</v>
      </c>
      <c r="I65" s="6">
        <f t="shared" si="5"/>
        <v>87057.650082788648</v>
      </c>
    </row>
    <row r="66" spans="1:9" x14ac:dyDescent="0.25">
      <c r="A66">
        <v>2011</v>
      </c>
      <c r="B66">
        <v>1</v>
      </c>
      <c r="C66" s="1">
        <v>6.4999999999999997E-3</v>
      </c>
      <c r="D66" s="1"/>
      <c r="E66" s="3">
        <v>88127</v>
      </c>
      <c r="F66" s="1">
        <v>6.4999999999999997E-3</v>
      </c>
      <c r="H66" s="6">
        <f t="shared" si="0"/>
        <v>83724.650082788648</v>
      </c>
      <c r="I66" s="6">
        <f t="shared" si="5"/>
        <v>84241.110211840409</v>
      </c>
    </row>
    <row r="67" spans="1:9" x14ac:dyDescent="0.25">
      <c r="A67">
        <v>2011</v>
      </c>
      <c r="B67">
        <v>2</v>
      </c>
      <c r="C67" s="1">
        <v>1.8800000000000001E-2</v>
      </c>
      <c r="D67" s="1"/>
      <c r="E67" s="3">
        <v>86449</v>
      </c>
      <c r="F67" s="1">
        <v>1.8800000000000001E-2</v>
      </c>
      <c r="H67" s="6">
        <f t="shared" si="0"/>
        <v>80908.110211840409</v>
      </c>
      <c r="I67" s="6">
        <f t="shared" si="5"/>
        <v>82351.620914713421</v>
      </c>
    </row>
    <row r="68" spans="1:9" x14ac:dyDescent="0.25">
      <c r="A68">
        <v>2011</v>
      </c>
      <c r="B68">
        <v>3</v>
      </c>
      <c r="C68" s="1">
        <v>1.4E-3</v>
      </c>
      <c r="D68" s="1"/>
      <c r="E68" s="3">
        <v>83239</v>
      </c>
      <c r="F68" s="1">
        <v>1.4E-3</v>
      </c>
      <c r="H68" s="6">
        <f t="shared" si="0"/>
        <v>79018.620914713421</v>
      </c>
      <c r="I68" s="6">
        <f t="shared" si="5"/>
        <v>79123.605994625599</v>
      </c>
    </row>
    <row r="69" spans="1:9" x14ac:dyDescent="0.25">
      <c r="A69">
        <v>2011</v>
      </c>
      <c r="B69">
        <v>4</v>
      </c>
      <c r="C69" s="1">
        <v>2.58E-2</v>
      </c>
      <c r="D69" s="1"/>
      <c r="E69" s="3">
        <v>82054</v>
      </c>
      <c r="F69" s="1">
        <v>2.58E-2</v>
      </c>
      <c r="H69" s="6">
        <f t="shared" si="0"/>
        <v>75790.605994625599</v>
      </c>
      <c r="I69" s="6">
        <f t="shared" si="5"/>
        <v>77646.294968029426</v>
      </c>
    </row>
    <row r="70" spans="1:9" x14ac:dyDescent="0.25">
      <c r="A70">
        <v>2011</v>
      </c>
      <c r="B70">
        <v>5</v>
      </c>
      <c r="C70" s="1">
        <v>8.3999999999999995E-3</v>
      </c>
      <c r="D70" s="1"/>
      <c r="E70" s="3">
        <v>79409</v>
      </c>
      <c r="F70" s="1">
        <v>8.3999999999999995E-3</v>
      </c>
      <c r="H70" s="6">
        <f t="shared" si="0"/>
        <v>74313.294968029426</v>
      </c>
      <c r="I70" s="6">
        <f t="shared" si="5"/>
        <v>74905.696135281643</v>
      </c>
    </row>
    <row r="71" spans="1:9" x14ac:dyDescent="0.25">
      <c r="A71">
        <v>2011</v>
      </c>
      <c r="B71">
        <v>6</v>
      </c>
      <c r="C71" s="108">
        <v>-1.06E-2</v>
      </c>
      <c r="D71" s="1"/>
      <c r="E71" s="3">
        <v>75234</v>
      </c>
      <c r="F71" s="1">
        <v>-1.06E-2</v>
      </c>
      <c r="H71" s="6">
        <f t="shared" si="0"/>
        <v>71572.696135281643</v>
      </c>
      <c r="I71" s="6">
        <f>H71+(H71*C71)</f>
        <v>70814.025556247652</v>
      </c>
    </row>
    <row r="72" spans="1:9" x14ac:dyDescent="0.25">
      <c r="A72">
        <v>2011</v>
      </c>
      <c r="B72">
        <v>7</v>
      </c>
      <c r="C72" s="1">
        <v>4.0000000000000002E-4</v>
      </c>
      <c r="D72" s="1"/>
      <c r="E72" s="3">
        <v>71934</v>
      </c>
      <c r="F72" s="1">
        <v>4.0000000000000002E-4</v>
      </c>
      <c r="H72" s="6">
        <f t="shared" si="0"/>
        <v>67481.025556247652</v>
      </c>
      <c r="I72" s="6">
        <f t="shared" si="5"/>
        <v>67506.64158294606</v>
      </c>
    </row>
    <row r="73" spans="1:9" x14ac:dyDescent="0.25">
      <c r="A73">
        <v>2011</v>
      </c>
      <c r="B73">
        <v>8</v>
      </c>
      <c r="C73" s="108">
        <v>-2.7000000000000001E-3</v>
      </c>
      <c r="D73" s="1"/>
      <c r="E73" s="3">
        <v>68409</v>
      </c>
      <c r="F73" s="1">
        <v>-2.7000000000000001E-3</v>
      </c>
      <c r="H73" s="6">
        <f t="shared" si="0"/>
        <v>64173.64158294606</v>
      </c>
      <c r="I73" s="6">
        <f>H73+(H73*C73)</f>
        <v>64000.372750672104</v>
      </c>
    </row>
    <row r="74" spans="1:9" x14ac:dyDescent="0.25">
      <c r="A74">
        <v>2011</v>
      </c>
      <c r="B74">
        <v>9</v>
      </c>
      <c r="C74" s="108">
        <v>-1.46E-2</v>
      </c>
      <c r="D74" s="1"/>
      <c r="E74" s="3">
        <v>64076</v>
      </c>
      <c r="F74" s="1">
        <v>-1.46E-2</v>
      </c>
      <c r="H74" s="6">
        <f t="shared" si="0"/>
        <v>60667.372750672104</v>
      </c>
      <c r="I74" s="6">
        <f>H74+(H74*C74)</f>
        <v>59781.629108512294</v>
      </c>
    </row>
    <row r="75" spans="1:9" x14ac:dyDescent="0.25">
      <c r="A75">
        <v>2011</v>
      </c>
      <c r="B75">
        <v>10</v>
      </c>
      <c r="C75" s="1">
        <v>4.0300000000000002E-2</v>
      </c>
      <c r="D75" s="1"/>
      <c r="E75" s="3">
        <v>63327</v>
      </c>
      <c r="F75" s="1">
        <v>4.0300000000000002E-2</v>
      </c>
      <c r="H75" s="6">
        <f t="shared" si="0"/>
        <v>56448.629108512294</v>
      </c>
      <c r="I75" s="6">
        <f t="shared" ref="I75" si="6">H75+(H75*(C75-C75*$K$28))</f>
        <v>58607.509327434309</v>
      </c>
    </row>
    <row r="76" spans="1:9" x14ac:dyDescent="0.25">
      <c r="A76">
        <v>2011</v>
      </c>
      <c r="B76">
        <v>11</v>
      </c>
      <c r="C76" s="108">
        <v>-5.3E-3</v>
      </c>
      <c r="D76" s="1"/>
      <c r="E76" s="3">
        <v>59659</v>
      </c>
      <c r="F76" s="1">
        <v>-5.3E-3</v>
      </c>
      <c r="H76" s="6">
        <f t="shared" si="0"/>
        <v>55274.509327434309</v>
      </c>
      <c r="I76" s="6">
        <f>H76+(H76*C76)</f>
        <v>54981.554427998904</v>
      </c>
    </row>
    <row r="77" spans="1:9" x14ac:dyDescent="0.25">
      <c r="A77">
        <v>2011</v>
      </c>
      <c r="B77">
        <v>12</v>
      </c>
      <c r="C77" s="1">
        <v>2.53E-2</v>
      </c>
      <c r="D77" s="1"/>
      <c r="E77" s="3">
        <v>57838</v>
      </c>
      <c r="F77" s="1">
        <v>2.53E-2</v>
      </c>
      <c r="H77" s="6">
        <f t="shared" si="0"/>
        <v>51648.554427998904</v>
      </c>
      <c r="I77" s="6">
        <f t="shared" ref="I77:I89" si="7">H77+(H77*(C77-C77*$K$28))</f>
        <v>52888.631830419596</v>
      </c>
    </row>
    <row r="78" spans="1:9" s="18" customFormat="1" x14ac:dyDescent="0.25">
      <c r="A78" s="18">
        <v>2012</v>
      </c>
      <c r="B78" s="18">
        <v>1</v>
      </c>
      <c r="C78" s="19">
        <v>1.8800000000000001E-2</v>
      </c>
      <c r="D78" s="19"/>
      <c r="E78" s="27">
        <v>55590</v>
      </c>
      <c r="F78" s="19">
        <v>1.8800000000000001E-2</v>
      </c>
      <c r="H78" s="6">
        <f t="shared" si="0"/>
        <v>49555.631830419596</v>
      </c>
      <c r="I78" s="6">
        <f t="shared" si="7"/>
        <v>50439.771686702836</v>
      </c>
    </row>
    <row r="79" spans="1:9" x14ac:dyDescent="0.25">
      <c r="A79">
        <v>2012</v>
      </c>
      <c r="B79">
        <v>2</v>
      </c>
      <c r="C79" s="1">
        <v>1.2800000000000001E-2</v>
      </c>
      <c r="D79" s="1"/>
      <c r="E79" s="3">
        <v>52971</v>
      </c>
      <c r="F79" s="1">
        <v>1.2800000000000001E-2</v>
      </c>
      <c r="H79" s="6">
        <f t="shared" si="0"/>
        <v>47106.771686702836</v>
      </c>
      <c r="I79" s="6">
        <f t="shared" si="7"/>
        <v>47678.992188098251</v>
      </c>
    </row>
    <row r="80" spans="1:9" x14ac:dyDescent="0.25">
      <c r="A80">
        <v>2012</v>
      </c>
      <c r="B80">
        <v>3</v>
      </c>
      <c r="C80" s="1">
        <v>4.5999999999999999E-3</v>
      </c>
      <c r="D80" s="1"/>
      <c r="E80" s="3">
        <v>49882</v>
      </c>
      <c r="F80" s="1">
        <v>4.5999999999999999E-3</v>
      </c>
      <c r="H80" s="6">
        <f t="shared" si="0"/>
        <v>44345.992188098251</v>
      </c>
      <c r="I80" s="6">
        <f t="shared" si="7"/>
        <v>44539.581916035531</v>
      </c>
    </row>
    <row r="81" spans="1:10" x14ac:dyDescent="0.25">
      <c r="A81">
        <v>2012</v>
      </c>
      <c r="B81">
        <v>4</v>
      </c>
      <c r="C81" s="1">
        <v>9.2999999999999992E-3</v>
      </c>
      <c r="D81" s="1"/>
      <c r="E81" s="3">
        <v>47014</v>
      </c>
      <c r="F81" s="1">
        <v>9.2999999999999992E-3</v>
      </c>
      <c r="H81" s="6">
        <f t="shared" si="0"/>
        <v>41206.581916035531</v>
      </c>
      <c r="I81" s="6">
        <f t="shared" si="7"/>
        <v>41570.262102889377</v>
      </c>
    </row>
    <row r="82" spans="1:10" x14ac:dyDescent="0.25">
      <c r="A82">
        <v>2012</v>
      </c>
      <c r="B82">
        <v>5</v>
      </c>
      <c r="C82" s="108">
        <v>-1.43E-2</v>
      </c>
      <c r="D82" s="1"/>
      <c r="E82" s="3">
        <v>43010</v>
      </c>
      <c r="F82" s="1">
        <v>-1.43E-2</v>
      </c>
      <c r="H82" s="6">
        <f t="shared" si="0"/>
        <v>38237.262102889377</v>
      </c>
      <c r="I82" s="6">
        <f>H82+(H82*C82)</f>
        <v>37690.469254818061</v>
      </c>
    </row>
    <row r="83" spans="1:10" x14ac:dyDescent="0.25">
      <c r="A83">
        <v>2012</v>
      </c>
      <c r="B83">
        <v>6</v>
      </c>
      <c r="C83" s="1">
        <v>0.02</v>
      </c>
      <c r="D83" s="1"/>
      <c r="E83" s="3">
        <v>40535</v>
      </c>
      <c r="F83" s="1">
        <v>0.02</v>
      </c>
      <c r="H83" s="6">
        <f t="shared" si="0"/>
        <v>34357.469254818061</v>
      </c>
      <c r="I83" s="6">
        <f t="shared" si="7"/>
        <v>35009.579861070983</v>
      </c>
    </row>
    <row r="84" spans="1:10" x14ac:dyDescent="0.25">
      <c r="A84">
        <v>2012</v>
      </c>
      <c r="B84">
        <v>7</v>
      </c>
      <c r="C84" s="1">
        <v>2.4400000000000002E-2</v>
      </c>
      <c r="D84" s="1"/>
      <c r="E84" s="3">
        <v>38193</v>
      </c>
      <c r="F84" s="1">
        <v>2.4400000000000002E-2</v>
      </c>
      <c r="H84" s="6">
        <f t="shared" si="0"/>
        <v>31676.579861070983</v>
      </c>
      <c r="I84" s="6">
        <f t="shared" si="7"/>
        <v>32410.076642329888</v>
      </c>
    </row>
    <row r="85" spans="1:10" x14ac:dyDescent="0.25">
      <c r="A85">
        <v>2012</v>
      </c>
      <c r="B85">
        <v>8</v>
      </c>
      <c r="C85" s="1">
        <v>5.3E-3</v>
      </c>
      <c r="D85" s="1"/>
      <c r="E85" s="3">
        <v>35064</v>
      </c>
      <c r="F85" s="1">
        <v>5.3E-3</v>
      </c>
      <c r="H85" s="6">
        <f t="shared" si="0"/>
        <v>29077.076642329888</v>
      </c>
      <c r="I85" s="6">
        <f t="shared" si="7"/>
        <v>29223.326924421835</v>
      </c>
    </row>
    <row r="86" spans="1:10" x14ac:dyDescent="0.25">
      <c r="A86">
        <v>2012</v>
      </c>
      <c r="B86">
        <v>9</v>
      </c>
      <c r="C86" s="1">
        <v>8.6E-3</v>
      </c>
      <c r="D86" s="1"/>
      <c r="E86" s="3">
        <v>32032</v>
      </c>
      <c r="F86" s="1">
        <v>8.6E-3</v>
      </c>
      <c r="H86" s="6">
        <f t="shared" si="0"/>
        <v>25890.326924421835</v>
      </c>
      <c r="I86" s="6">
        <f t="shared" si="7"/>
        <v>26101.630130850332</v>
      </c>
    </row>
    <row r="87" spans="1:10" x14ac:dyDescent="0.25">
      <c r="A87">
        <v>2012</v>
      </c>
      <c r="B87">
        <v>10</v>
      </c>
      <c r="C87" s="1">
        <v>2.5000000000000001E-3</v>
      </c>
      <c r="D87" s="1"/>
      <c r="E87" s="3">
        <v>28778</v>
      </c>
      <c r="F87" s="1">
        <v>2.5000000000000001E-3</v>
      </c>
      <c r="H87" s="6">
        <f t="shared" si="0"/>
        <v>22768.630130850332</v>
      </c>
      <c r="I87" s="6">
        <f t="shared" si="7"/>
        <v>22822.649189588537</v>
      </c>
      <c r="J87" t="s">
        <v>36</v>
      </c>
    </row>
    <row r="88" spans="1:10" x14ac:dyDescent="0.25">
      <c r="A88">
        <v>2012</v>
      </c>
      <c r="B88">
        <v>11</v>
      </c>
      <c r="C88" s="1">
        <v>2.8999999999999998E-3</v>
      </c>
      <c r="D88" s="1"/>
      <c r="E88" s="3">
        <v>25527</v>
      </c>
      <c r="F88" s="1">
        <v>2.8999999999999998E-3</v>
      </c>
      <c r="H88" s="109">
        <f t="shared" si="0"/>
        <v>19489.649189588537</v>
      </c>
      <c r="I88" s="109">
        <f t="shared" si="7"/>
        <v>19543.287133463</v>
      </c>
    </row>
    <row r="89" spans="1:10" x14ac:dyDescent="0.25">
      <c r="A89" s="10">
        <v>2012</v>
      </c>
      <c r="B89" s="10">
        <v>12</v>
      </c>
      <c r="C89" s="11">
        <v>1.9E-3</v>
      </c>
      <c r="D89" s="11"/>
      <c r="E89" s="14">
        <v>22242</v>
      </c>
      <c r="F89" s="11">
        <v>1.9E-3</v>
      </c>
      <c r="H89" s="6">
        <f t="shared" si="0"/>
        <v>16210.287133463</v>
      </c>
      <c r="I89" s="6">
        <f t="shared" si="7"/>
        <v>16239.516163945858</v>
      </c>
    </row>
    <row r="90" spans="1:10" x14ac:dyDescent="0.25">
      <c r="A90" t="s">
        <v>21</v>
      </c>
      <c r="C90" s="1"/>
      <c r="D90" s="1"/>
      <c r="E90" s="3"/>
      <c r="F90" s="1"/>
    </row>
    <row r="91" spans="1:10" x14ac:dyDescent="0.25">
      <c r="A91" t="s">
        <v>36</v>
      </c>
      <c r="C91" s="1"/>
      <c r="D91" s="1"/>
      <c r="E91" s="3"/>
      <c r="F91" s="1"/>
    </row>
    <row r="93" spans="1:10" x14ac:dyDescent="0.25">
      <c r="A93" s="21" t="s">
        <v>0</v>
      </c>
      <c r="B93" s="21" t="s">
        <v>18</v>
      </c>
      <c r="C93" s="21" t="s">
        <v>2</v>
      </c>
      <c r="D93" s="21"/>
      <c r="E93" s="21" t="s">
        <v>3</v>
      </c>
      <c r="F93" s="21" t="s">
        <v>42</v>
      </c>
    </row>
    <row r="94" spans="1:10" x14ac:dyDescent="0.25">
      <c r="A94" s="21" t="s">
        <v>20</v>
      </c>
      <c r="B94" s="21"/>
      <c r="C94" s="21"/>
      <c r="D94" s="21"/>
      <c r="E94" s="21"/>
      <c r="F94" s="21"/>
      <c r="H94" t="s">
        <v>141</v>
      </c>
      <c r="I94">
        <v>200000</v>
      </c>
    </row>
    <row r="95" spans="1:10" x14ac:dyDescent="0.25">
      <c r="A95" s="21"/>
      <c r="B95" s="21"/>
      <c r="C95" s="21"/>
      <c r="D95" s="21"/>
      <c r="E95" s="21"/>
      <c r="F95" s="21"/>
      <c r="H95" t="s">
        <v>142</v>
      </c>
      <c r="I95">
        <v>3333</v>
      </c>
    </row>
    <row r="96" spans="1:10" x14ac:dyDescent="0.25">
      <c r="A96" s="21">
        <v>2015</v>
      </c>
      <c r="B96" s="21">
        <v>1</v>
      </c>
      <c r="C96" s="22">
        <v>5.4999999999999997E-3</v>
      </c>
      <c r="D96" s="22"/>
      <c r="E96" s="23">
        <v>197762</v>
      </c>
      <c r="F96" s="22">
        <v>5.4999999999999997E-3</v>
      </c>
      <c r="I96">
        <f>(I94-$I$95)</f>
        <v>196667</v>
      </c>
      <c r="J96" s="6">
        <f t="shared" ref="J96:J99" si="8">I96+(I96*(D96-D96*$K$28))</f>
        <v>196667</v>
      </c>
    </row>
    <row r="97" spans="1:10" x14ac:dyDescent="0.25">
      <c r="A97" s="21">
        <v>2015</v>
      </c>
      <c r="B97" s="21">
        <v>2</v>
      </c>
      <c r="C97" s="22">
        <v>8.2000000000000007E-3</v>
      </c>
      <c r="D97" s="22"/>
      <c r="E97" s="23">
        <v>196044</v>
      </c>
      <c r="F97" s="22">
        <v>8.2000000000000007E-3</v>
      </c>
      <c r="I97" s="6">
        <f>J96-$I$95</f>
        <v>193334</v>
      </c>
      <c r="J97" s="6">
        <f t="shared" si="8"/>
        <v>193334</v>
      </c>
    </row>
    <row r="98" spans="1:10" x14ac:dyDescent="0.25">
      <c r="A98" s="21">
        <v>2015</v>
      </c>
      <c r="B98" s="21">
        <v>3</v>
      </c>
      <c r="C98" s="129">
        <v>-1E-3</v>
      </c>
      <c r="D98" s="22"/>
      <c r="E98" s="23">
        <v>192514</v>
      </c>
      <c r="F98" s="22">
        <v>-1E-3</v>
      </c>
      <c r="I98" s="6">
        <f t="shared" ref="I98:I155" si="9">J97-$I$95</f>
        <v>190001</v>
      </c>
      <c r="J98">
        <f>I98+(I98*C98)</f>
        <v>189810.99900000001</v>
      </c>
    </row>
    <row r="99" spans="1:10" x14ac:dyDescent="0.25">
      <c r="A99" s="21">
        <v>2015</v>
      </c>
      <c r="B99" s="21">
        <v>4</v>
      </c>
      <c r="C99" s="22">
        <v>5.1000000000000004E-3</v>
      </c>
      <c r="D99" s="22"/>
      <c r="E99" s="23">
        <v>190154</v>
      </c>
      <c r="F99" s="22">
        <v>5.1000000000000004E-3</v>
      </c>
      <c r="I99" s="6">
        <f t="shared" si="9"/>
        <v>186477.99900000001</v>
      </c>
      <c r="J99" s="6">
        <f t="shared" si="8"/>
        <v>186477.99900000001</v>
      </c>
    </row>
    <row r="100" spans="1:10" x14ac:dyDescent="0.25">
      <c r="A100" s="21">
        <v>2015</v>
      </c>
      <c r="B100" s="21">
        <v>5</v>
      </c>
      <c r="C100" s="129">
        <v>-1.1999999999999999E-3</v>
      </c>
      <c r="D100" s="22"/>
      <c r="E100" s="23">
        <v>186601</v>
      </c>
      <c r="F100" s="22">
        <v>-1.1999999999999999E-3</v>
      </c>
      <c r="I100" s="6">
        <f t="shared" si="9"/>
        <v>183144.99900000001</v>
      </c>
      <c r="J100" s="6">
        <f>I100+(I100*C100)</f>
        <v>182925.22500120001</v>
      </c>
    </row>
    <row r="101" spans="1:10" x14ac:dyDescent="0.25">
      <c r="A101" s="21">
        <v>2015</v>
      </c>
      <c r="B101" s="21">
        <v>6</v>
      </c>
      <c r="C101" s="129">
        <v>-2.06E-2</v>
      </c>
      <c r="D101" s="22"/>
      <c r="E101" s="23">
        <v>179421</v>
      </c>
      <c r="F101" s="22">
        <v>-2.06E-2</v>
      </c>
      <c r="I101" s="6">
        <f t="shared" si="9"/>
        <v>179592.22500120001</v>
      </c>
      <c r="J101" s="6">
        <f>I101+(I101*C101)</f>
        <v>175892.6251661753</v>
      </c>
    </row>
    <row r="102" spans="1:10" x14ac:dyDescent="0.25">
      <c r="A102" s="21">
        <v>2015</v>
      </c>
      <c r="B102" s="21">
        <v>7</v>
      </c>
      <c r="C102" s="22">
        <v>1.23E-2</v>
      </c>
      <c r="D102" s="22"/>
      <c r="E102" s="23">
        <v>178303</v>
      </c>
      <c r="F102" s="22">
        <v>1.23E-2</v>
      </c>
      <c r="I102" s="6">
        <f t="shared" si="9"/>
        <v>172559.6251661753</v>
      </c>
      <c r="J102" s="6">
        <f t="shared" ref="J102" si="10">I102+(I102*(D102-D102*$K$28))</f>
        <v>172559.6251661753</v>
      </c>
    </row>
    <row r="103" spans="1:10" x14ac:dyDescent="0.25">
      <c r="A103" s="21">
        <v>2015</v>
      </c>
      <c r="B103" s="21">
        <v>8</v>
      </c>
      <c r="C103" s="129">
        <v>-2.1600000000000001E-2</v>
      </c>
      <c r="D103" s="22"/>
      <c r="E103" s="23">
        <v>171112</v>
      </c>
      <c r="F103" s="22">
        <v>-2.1600000000000001E-2</v>
      </c>
      <c r="I103" s="6">
        <f t="shared" si="9"/>
        <v>169226.6251661753</v>
      </c>
      <c r="J103" s="6">
        <f>I103+(I103*C103)</f>
        <v>165571.33006258591</v>
      </c>
    </row>
    <row r="104" spans="1:10" x14ac:dyDescent="0.25">
      <c r="A104" s="21">
        <v>2015</v>
      </c>
      <c r="B104" s="21">
        <v>9</v>
      </c>
      <c r="C104" s="22">
        <v>1.1000000000000001E-3</v>
      </c>
      <c r="D104" s="22"/>
      <c r="E104" s="23">
        <v>167972</v>
      </c>
      <c r="F104" s="22">
        <v>1.1000000000000001E-3</v>
      </c>
      <c r="I104" s="6">
        <f t="shared" si="9"/>
        <v>162238.33006258591</v>
      </c>
      <c r="J104" s="6">
        <f t="shared" ref="J104:J106" si="11">I104+(I104*(D104-D104*$K$28))</f>
        <v>162238.33006258591</v>
      </c>
    </row>
    <row r="105" spans="1:10" x14ac:dyDescent="0.25">
      <c r="A105" s="21">
        <v>2015</v>
      </c>
      <c r="B105" s="21">
        <v>10</v>
      </c>
      <c r="C105" s="22">
        <v>3.4000000000000002E-2</v>
      </c>
      <c r="D105" s="22"/>
      <c r="E105" s="23">
        <v>170349</v>
      </c>
      <c r="F105" s="22">
        <v>3.4000000000000002E-2</v>
      </c>
      <c r="I105" s="6">
        <f t="shared" si="9"/>
        <v>158905.33006258591</v>
      </c>
      <c r="J105" s="6">
        <f t="shared" si="11"/>
        <v>158905.33006258591</v>
      </c>
    </row>
    <row r="106" spans="1:10" x14ac:dyDescent="0.25">
      <c r="A106" s="21">
        <v>2015</v>
      </c>
      <c r="B106" s="21">
        <v>11</v>
      </c>
      <c r="C106" s="22">
        <v>0</v>
      </c>
      <c r="D106" s="22"/>
      <c r="E106" s="23">
        <v>167016</v>
      </c>
      <c r="F106" s="22">
        <v>0</v>
      </c>
      <c r="I106" s="6">
        <f t="shared" si="9"/>
        <v>155572.33006258591</v>
      </c>
      <c r="J106" s="6">
        <f t="shared" si="11"/>
        <v>155572.33006258591</v>
      </c>
    </row>
    <row r="107" spans="1:10" x14ac:dyDescent="0.25">
      <c r="A107" s="21">
        <v>2015</v>
      </c>
      <c r="B107" s="21">
        <v>12</v>
      </c>
      <c r="C107" s="129">
        <v>-7.9000000000000008E-3</v>
      </c>
      <c r="D107" s="22"/>
      <c r="E107" s="23">
        <v>162367</v>
      </c>
      <c r="F107" s="22">
        <v>-7.9000000000000008E-3</v>
      </c>
      <c r="I107" s="6">
        <f t="shared" si="9"/>
        <v>152239.33006258591</v>
      </c>
      <c r="J107" s="6">
        <f t="shared" ref="J107:J108" si="12">I107+(I107*C107)</f>
        <v>151036.63935509149</v>
      </c>
    </row>
    <row r="108" spans="1:10" x14ac:dyDescent="0.25">
      <c r="A108" s="21">
        <v>2016</v>
      </c>
      <c r="B108" s="21">
        <v>1</v>
      </c>
      <c r="C108" s="129">
        <v>-2E-3</v>
      </c>
      <c r="D108" s="22"/>
      <c r="E108" s="23">
        <v>158703</v>
      </c>
      <c r="F108" s="22">
        <v>-2E-3</v>
      </c>
      <c r="I108" s="6">
        <f t="shared" si="9"/>
        <v>147703.63935509149</v>
      </c>
      <c r="J108" s="6">
        <f t="shared" si="12"/>
        <v>147408.2320763813</v>
      </c>
    </row>
    <row r="109" spans="1:10" x14ac:dyDescent="0.25">
      <c r="A109" s="21">
        <v>2016</v>
      </c>
      <c r="B109" s="21">
        <v>2</v>
      </c>
      <c r="C109" s="22">
        <v>4.4999999999999997E-3</v>
      </c>
      <c r="D109" s="22"/>
      <c r="E109" s="23">
        <v>156083</v>
      </c>
      <c r="F109" s="22">
        <v>4.4999999999999997E-3</v>
      </c>
      <c r="I109" s="6">
        <f t="shared" si="9"/>
        <v>144075.2320763813</v>
      </c>
      <c r="J109" s="6">
        <f t="shared" ref="J109:J115" si="13">I109+(I109*(D109-D109*$K$28))</f>
        <v>144075.2320763813</v>
      </c>
    </row>
    <row r="110" spans="1:10" x14ac:dyDescent="0.25">
      <c r="A110" s="21">
        <v>2016</v>
      </c>
      <c r="B110" s="21">
        <v>3</v>
      </c>
      <c r="C110" s="22">
        <v>3.5200000000000002E-2</v>
      </c>
      <c r="D110" s="22"/>
      <c r="E110" s="23">
        <v>158237</v>
      </c>
      <c r="F110" s="22">
        <v>3.5200000000000002E-2</v>
      </c>
      <c r="I110" s="6">
        <f t="shared" si="9"/>
        <v>140742.2320763813</v>
      </c>
      <c r="J110" s="6">
        <f t="shared" si="13"/>
        <v>140742.2320763813</v>
      </c>
    </row>
    <row r="111" spans="1:10" x14ac:dyDescent="0.25">
      <c r="A111" s="21">
        <v>2016</v>
      </c>
      <c r="B111" s="21">
        <v>4</v>
      </c>
      <c r="C111" s="22">
        <v>9.1000000000000004E-3</v>
      </c>
      <c r="D111" s="22"/>
      <c r="E111" s="23">
        <v>156344</v>
      </c>
      <c r="F111" s="22">
        <v>9.1000000000000004E-3</v>
      </c>
      <c r="I111" s="6">
        <f t="shared" si="9"/>
        <v>137409.2320763813</v>
      </c>
      <c r="J111" s="6">
        <f t="shared" si="13"/>
        <v>137409.2320763813</v>
      </c>
    </row>
    <row r="112" spans="1:10" x14ac:dyDescent="0.25">
      <c r="A112" s="21">
        <v>2016</v>
      </c>
      <c r="B112" s="21">
        <v>5</v>
      </c>
      <c r="C112" s="22">
        <v>5.8999999999999999E-3</v>
      </c>
      <c r="D112" s="22"/>
      <c r="E112" s="23">
        <v>153930</v>
      </c>
      <c r="F112" s="22">
        <v>5.8999999999999999E-3</v>
      </c>
      <c r="I112" s="6">
        <f t="shared" si="9"/>
        <v>134076.2320763813</v>
      </c>
      <c r="J112" s="6">
        <f t="shared" si="13"/>
        <v>134076.2320763813</v>
      </c>
    </row>
    <row r="113" spans="1:10" x14ac:dyDescent="0.25">
      <c r="A113" s="21">
        <v>2016</v>
      </c>
      <c r="B113" s="21">
        <v>6</v>
      </c>
      <c r="C113" s="22">
        <v>2.18E-2</v>
      </c>
      <c r="D113" s="22"/>
      <c r="E113" s="23">
        <v>153953</v>
      </c>
      <c r="F113" s="22">
        <v>2.18E-2</v>
      </c>
      <c r="I113" s="6">
        <f t="shared" si="9"/>
        <v>130743.2320763813</v>
      </c>
      <c r="J113" s="6">
        <f t="shared" si="13"/>
        <v>130743.2320763813</v>
      </c>
    </row>
    <row r="114" spans="1:10" x14ac:dyDescent="0.25">
      <c r="A114" s="21">
        <v>2016</v>
      </c>
      <c r="B114" s="21">
        <v>7</v>
      </c>
      <c r="C114" s="22">
        <v>1.38E-2</v>
      </c>
      <c r="D114" s="22"/>
      <c r="E114" s="23">
        <v>152749</v>
      </c>
      <c r="F114" s="22">
        <v>1.38E-2</v>
      </c>
      <c r="I114" s="6">
        <f t="shared" si="9"/>
        <v>127410.2320763813</v>
      </c>
      <c r="J114" s="6">
        <f t="shared" si="13"/>
        <v>127410.2320763813</v>
      </c>
    </row>
    <row r="115" spans="1:10" x14ac:dyDescent="0.25">
      <c r="A115" s="21">
        <v>2016</v>
      </c>
      <c r="B115" s="21">
        <v>8</v>
      </c>
      <c r="C115" s="22">
        <v>0</v>
      </c>
      <c r="D115" s="22"/>
      <c r="E115" s="23">
        <v>149416</v>
      </c>
      <c r="F115" s="22">
        <v>0</v>
      </c>
      <c r="I115" s="6">
        <f t="shared" si="9"/>
        <v>124077.2320763813</v>
      </c>
      <c r="J115" s="6">
        <f t="shared" si="13"/>
        <v>124077.2320763813</v>
      </c>
    </row>
    <row r="116" spans="1:10" x14ac:dyDescent="0.25">
      <c r="A116" s="21">
        <v>2016</v>
      </c>
      <c r="B116" s="21">
        <v>9</v>
      </c>
      <c r="C116" s="129">
        <v>-3.2000000000000002E-3</v>
      </c>
      <c r="D116" s="22"/>
      <c r="E116" s="23">
        <v>145610</v>
      </c>
      <c r="F116" s="22">
        <v>-3.2000000000000002E-3</v>
      </c>
      <c r="I116" s="6">
        <f t="shared" si="9"/>
        <v>120744.2320763813</v>
      </c>
      <c r="J116" s="6">
        <f t="shared" ref="J116:J118" si="14">I116+(I116*C116)</f>
        <v>120357.85053373688</v>
      </c>
    </row>
    <row r="117" spans="1:10" x14ac:dyDescent="0.25">
      <c r="A117" s="21">
        <v>2016</v>
      </c>
      <c r="B117" s="21">
        <v>10</v>
      </c>
      <c r="C117" s="129">
        <v>-1.2200000000000001E-2</v>
      </c>
      <c r="D117" s="22"/>
      <c r="E117" s="23">
        <v>140494</v>
      </c>
      <c r="F117" s="22">
        <v>-1.2200000000000001E-2</v>
      </c>
      <c r="I117" s="6">
        <f t="shared" si="9"/>
        <v>117024.85053373688</v>
      </c>
      <c r="J117" s="6">
        <f t="shared" si="14"/>
        <v>115597.14735722529</v>
      </c>
    </row>
    <row r="118" spans="1:10" x14ac:dyDescent="0.25">
      <c r="A118" s="21">
        <v>2016</v>
      </c>
      <c r="B118" s="21">
        <v>11</v>
      </c>
      <c r="C118" s="129">
        <v>-7.4000000000000003E-3</v>
      </c>
      <c r="D118" s="22"/>
      <c r="E118" s="23">
        <v>136127</v>
      </c>
      <c r="F118" s="22">
        <v>-7.4000000000000003E-3</v>
      </c>
      <c r="I118" s="6">
        <f t="shared" si="9"/>
        <v>112264.14735722529</v>
      </c>
      <c r="J118" s="6">
        <f t="shared" si="14"/>
        <v>111433.39266678182</v>
      </c>
    </row>
    <row r="119" spans="1:10" x14ac:dyDescent="0.25">
      <c r="A119" s="21">
        <v>2016</v>
      </c>
      <c r="B119" s="21">
        <v>12</v>
      </c>
      <c r="C119" s="22">
        <v>1.35E-2</v>
      </c>
      <c r="D119" s="22"/>
      <c r="E119" s="23">
        <v>134626</v>
      </c>
      <c r="F119" s="22">
        <v>1.35E-2</v>
      </c>
      <c r="I119" s="6">
        <f t="shared" si="9"/>
        <v>108100.39266678182</v>
      </c>
      <c r="J119" s="6">
        <f t="shared" ref="J119:J121" si="15">I119+(I119*(D119-D119*$K$28))</f>
        <v>108100.39266678182</v>
      </c>
    </row>
    <row r="120" spans="1:10" x14ac:dyDescent="0.25">
      <c r="A120" s="21">
        <v>2017</v>
      </c>
      <c r="B120" s="21">
        <v>1</v>
      </c>
      <c r="C120" s="22">
        <v>2.7000000000000001E-3</v>
      </c>
      <c r="D120" s="22"/>
      <c r="E120" s="23">
        <v>131663</v>
      </c>
      <c r="F120" s="22">
        <v>2.7000000000000001E-3</v>
      </c>
      <c r="I120" s="6">
        <f t="shared" si="9"/>
        <v>104767.39266678182</v>
      </c>
      <c r="J120" s="6">
        <f t="shared" si="15"/>
        <v>104767.39266678182</v>
      </c>
    </row>
    <row r="121" spans="1:10" x14ac:dyDescent="0.25">
      <c r="A121" s="21">
        <v>2017</v>
      </c>
      <c r="B121" s="21">
        <v>2</v>
      </c>
      <c r="C121" s="22">
        <v>1.9599999999999999E-2</v>
      </c>
      <c r="D121" s="22"/>
      <c r="E121" s="23">
        <v>130907</v>
      </c>
      <c r="F121" s="22">
        <v>1.9599999999999999E-2</v>
      </c>
      <c r="I121" s="6">
        <f t="shared" si="9"/>
        <v>101434.39266678182</v>
      </c>
      <c r="J121" s="6">
        <f t="shared" si="15"/>
        <v>101434.39266678182</v>
      </c>
    </row>
    <row r="122" spans="1:10" x14ac:dyDescent="0.25">
      <c r="A122" s="21">
        <v>2017</v>
      </c>
      <c r="B122" s="21">
        <v>3</v>
      </c>
      <c r="C122" s="129">
        <v>-4.0000000000000002E-4</v>
      </c>
      <c r="D122" s="22"/>
      <c r="E122" s="23">
        <v>127524</v>
      </c>
      <c r="F122" s="22">
        <v>-4.0000000000000002E-4</v>
      </c>
      <c r="I122" s="6">
        <f t="shared" si="9"/>
        <v>98101.392666781816</v>
      </c>
      <c r="J122" s="6">
        <f t="shared" ref="J122" si="16">I122+(I122*C122)</f>
        <v>98062.152109715098</v>
      </c>
    </row>
    <row r="123" spans="1:10" x14ac:dyDescent="0.25">
      <c r="A123" s="21">
        <v>2017</v>
      </c>
      <c r="B123" s="21">
        <v>4</v>
      </c>
      <c r="C123" s="22">
        <v>7.0000000000000001E-3</v>
      </c>
      <c r="D123" s="22"/>
      <c r="E123" s="23">
        <v>125079</v>
      </c>
      <c r="F123" s="22">
        <v>7.0000000000000001E-3</v>
      </c>
      <c r="I123" s="6">
        <f t="shared" si="9"/>
        <v>94729.152109715098</v>
      </c>
      <c r="J123" s="6">
        <f t="shared" ref="J123:J132" si="17">I123+(I123*(D123-D123*$K$28))</f>
        <v>94729.152109715098</v>
      </c>
    </row>
    <row r="124" spans="1:10" x14ac:dyDescent="0.25">
      <c r="A124" s="21">
        <v>2017</v>
      </c>
      <c r="B124" s="21">
        <v>5</v>
      </c>
      <c r="C124" s="22">
        <v>1.15E-2</v>
      </c>
      <c r="D124" s="22"/>
      <c r="E124" s="23">
        <v>123187</v>
      </c>
      <c r="F124" s="22">
        <v>1.15E-2</v>
      </c>
      <c r="I124" s="6">
        <f t="shared" si="9"/>
        <v>91396.152109715098</v>
      </c>
      <c r="J124" s="6">
        <f t="shared" si="17"/>
        <v>91396.152109715098</v>
      </c>
    </row>
    <row r="125" spans="1:10" x14ac:dyDescent="0.25">
      <c r="A125" s="21">
        <v>2017</v>
      </c>
      <c r="B125" s="21">
        <v>6</v>
      </c>
      <c r="C125" s="22">
        <v>4.1000000000000003E-3</v>
      </c>
      <c r="D125" s="22"/>
      <c r="E125" s="23">
        <v>120365</v>
      </c>
      <c r="F125" s="22">
        <v>4.1000000000000003E-3</v>
      </c>
      <c r="I125" s="6">
        <f t="shared" si="9"/>
        <v>88063.152109715098</v>
      </c>
      <c r="J125" s="6">
        <f t="shared" si="17"/>
        <v>88063.152109715098</v>
      </c>
    </row>
    <row r="126" spans="1:10" x14ac:dyDescent="0.25">
      <c r="A126" s="21">
        <v>2017</v>
      </c>
      <c r="B126" s="21">
        <v>7</v>
      </c>
      <c r="C126" s="22">
        <v>8.8000000000000005E-3</v>
      </c>
      <c r="D126" s="22"/>
      <c r="E126" s="23">
        <v>118086</v>
      </c>
      <c r="F126" s="22">
        <v>8.8000000000000005E-3</v>
      </c>
      <c r="I126" s="6">
        <f t="shared" si="9"/>
        <v>84730.152109715098</v>
      </c>
      <c r="J126" s="6">
        <f t="shared" si="17"/>
        <v>84730.152109715098</v>
      </c>
    </row>
    <row r="127" spans="1:10" x14ac:dyDescent="0.25">
      <c r="A127" s="21">
        <v>2017</v>
      </c>
      <c r="B127" s="21">
        <v>8</v>
      </c>
      <c r="C127" s="22">
        <v>5.3E-3</v>
      </c>
      <c r="D127" s="22"/>
      <c r="E127" s="23">
        <v>115377</v>
      </c>
      <c r="F127" s="22">
        <v>5.3E-3</v>
      </c>
      <c r="I127" s="6">
        <f t="shared" si="9"/>
        <v>81397.152109715098</v>
      </c>
      <c r="J127" s="6">
        <f t="shared" si="17"/>
        <v>81397.152109715098</v>
      </c>
    </row>
    <row r="128" spans="1:10" x14ac:dyDescent="0.25">
      <c r="A128" s="21">
        <v>2017</v>
      </c>
      <c r="B128" s="21">
        <v>9</v>
      </c>
      <c r="C128" s="22">
        <v>8.3999999999999995E-3</v>
      </c>
      <c r="D128" s="22"/>
      <c r="E128" s="23">
        <v>113016</v>
      </c>
      <c r="F128" s="22">
        <v>8.3999999999999995E-3</v>
      </c>
      <c r="I128" s="6">
        <f t="shared" si="9"/>
        <v>78064.152109715098</v>
      </c>
      <c r="J128" s="6">
        <f t="shared" si="17"/>
        <v>78064.152109715098</v>
      </c>
    </row>
    <row r="129" spans="1:10" x14ac:dyDescent="0.25">
      <c r="A129" s="21">
        <v>2017</v>
      </c>
      <c r="B129" s="21">
        <v>10</v>
      </c>
      <c r="C129" s="22">
        <v>8.9999999999999993E-3</v>
      </c>
      <c r="D129" s="22"/>
      <c r="E129" s="23">
        <v>110701</v>
      </c>
      <c r="F129" s="22">
        <v>8.9999999999999993E-3</v>
      </c>
      <c r="I129" s="6">
        <f t="shared" si="9"/>
        <v>74731.152109715098</v>
      </c>
      <c r="J129" s="6">
        <f t="shared" si="17"/>
        <v>74731.152109715098</v>
      </c>
    </row>
    <row r="130" spans="1:10" x14ac:dyDescent="0.25">
      <c r="A130" s="21">
        <v>2017</v>
      </c>
      <c r="B130" s="21">
        <v>11</v>
      </c>
      <c r="C130" s="22">
        <v>1.0800000000000001E-2</v>
      </c>
      <c r="D130" s="22"/>
      <c r="E130" s="23">
        <v>108561</v>
      </c>
      <c r="F130" s="22">
        <v>1.0800000000000001E-2</v>
      </c>
      <c r="I130" s="6">
        <f t="shared" si="9"/>
        <v>71398.152109715098</v>
      </c>
      <c r="J130" s="6">
        <f t="shared" si="17"/>
        <v>71398.152109715098</v>
      </c>
    </row>
    <row r="131" spans="1:10" x14ac:dyDescent="0.25">
      <c r="A131" s="21">
        <v>2017</v>
      </c>
      <c r="B131" s="21">
        <v>12</v>
      </c>
      <c r="C131" s="22">
        <v>1.0800000000000001E-2</v>
      </c>
      <c r="D131" s="22"/>
      <c r="E131" s="23">
        <v>106402</v>
      </c>
      <c r="F131" s="22">
        <v>1.0800000000000001E-2</v>
      </c>
      <c r="I131" s="6">
        <f t="shared" si="9"/>
        <v>68065.152109715098</v>
      </c>
      <c r="J131" s="6">
        <f t="shared" si="17"/>
        <v>68065.152109715098</v>
      </c>
    </row>
    <row r="132" spans="1:10" x14ac:dyDescent="0.25">
      <c r="A132" s="21">
        <v>2018</v>
      </c>
      <c r="B132" s="21">
        <v>1</v>
      </c>
      <c r="C132" s="22">
        <v>5.5999999999999999E-3</v>
      </c>
      <c r="D132" s="22"/>
      <c r="E132" s="23">
        <v>103661</v>
      </c>
      <c r="F132" s="22">
        <v>5.5999999999999999E-3</v>
      </c>
      <c r="I132" s="6">
        <f t="shared" si="9"/>
        <v>64732.152109715098</v>
      </c>
      <c r="J132" s="6">
        <f t="shared" si="17"/>
        <v>64732.152109715098</v>
      </c>
    </row>
    <row r="133" spans="1:10" x14ac:dyDescent="0.25">
      <c r="A133" s="21">
        <v>2018</v>
      </c>
      <c r="B133" s="21">
        <v>2</v>
      </c>
      <c r="C133" s="129">
        <v>-2.7300000000000001E-2</v>
      </c>
      <c r="D133" s="22"/>
      <c r="E133" s="23">
        <v>97499</v>
      </c>
      <c r="F133" s="22">
        <v>-2.7300000000000001E-2</v>
      </c>
      <c r="I133" s="6">
        <f t="shared" si="9"/>
        <v>61399.152109715098</v>
      </c>
      <c r="J133" s="6">
        <f t="shared" ref="J133:J135" si="18">I133+(I133*C133)</f>
        <v>59722.955257119873</v>
      </c>
    </row>
    <row r="134" spans="1:10" x14ac:dyDescent="0.25">
      <c r="A134" s="21">
        <v>2018</v>
      </c>
      <c r="B134" s="21">
        <v>3</v>
      </c>
      <c r="C134" s="129">
        <v>-2.7000000000000001E-3</v>
      </c>
      <c r="D134" s="22"/>
      <c r="E134" s="23">
        <v>93900</v>
      </c>
      <c r="F134" s="22">
        <v>-2.7000000000000001E-3</v>
      </c>
      <c r="I134" s="6">
        <f t="shared" si="9"/>
        <v>56389.955257119873</v>
      </c>
      <c r="J134" s="6">
        <f t="shared" si="18"/>
        <v>56237.702377925649</v>
      </c>
    </row>
    <row r="135" spans="1:10" x14ac:dyDescent="0.25">
      <c r="A135" s="21">
        <v>2018</v>
      </c>
      <c r="B135" s="21">
        <v>4</v>
      </c>
      <c r="C135" s="129">
        <v>-5.0000000000000001E-3</v>
      </c>
      <c r="D135" s="22"/>
      <c r="E135" s="23">
        <v>90099</v>
      </c>
      <c r="F135" s="22">
        <v>-5.0000000000000001E-3</v>
      </c>
      <c r="I135" s="6">
        <f t="shared" si="9"/>
        <v>52904.702377925649</v>
      </c>
      <c r="J135" s="6">
        <f t="shared" si="18"/>
        <v>52640.178866036018</v>
      </c>
    </row>
    <row r="136" spans="1:10" x14ac:dyDescent="0.25">
      <c r="A136" s="21">
        <v>2018</v>
      </c>
      <c r="B136" s="21">
        <v>5</v>
      </c>
      <c r="C136" s="22">
        <v>6.4999999999999997E-3</v>
      </c>
      <c r="D136" s="22"/>
      <c r="E136" s="23">
        <v>87355</v>
      </c>
      <c r="F136" s="22">
        <v>6.4999999999999997E-3</v>
      </c>
      <c r="I136" s="6">
        <f t="shared" si="9"/>
        <v>49307.178866036018</v>
      </c>
      <c r="J136" s="6">
        <f t="shared" ref="J136:J139" si="19">I136+(I136*(D136-D136*$K$28))</f>
        <v>49307.178866036018</v>
      </c>
    </row>
    <row r="137" spans="1:10" x14ac:dyDescent="0.25">
      <c r="A137" s="21">
        <v>2018</v>
      </c>
      <c r="B137" s="21">
        <v>6</v>
      </c>
      <c r="C137" s="22">
        <v>1.6000000000000001E-3</v>
      </c>
      <c r="D137" s="22"/>
      <c r="E137" s="23">
        <v>84164</v>
      </c>
      <c r="F137" s="22">
        <v>1.6000000000000001E-3</v>
      </c>
      <c r="I137" s="6">
        <f t="shared" si="9"/>
        <v>45974.178866036018</v>
      </c>
      <c r="J137" s="6">
        <f t="shared" si="19"/>
        <v>45974.178866036018</v>
      </c>
    </row>
    <row r="138" spans="1:10" x14ac:dyDescent="0.25">
      <c r="A138" s="21">
        <v>2018</v>
      </c>
      <c r="B138" s="21">
        <v>7</v>
      </c>
      <c r="C138" s="22">
        <v>2.0400000000000001E-2</v>
      </c>
      <c r="D138" s="22"/>
      <c r="E138" s="23">
        <v>82546</v>
      </c>
      <c r="F138" s="22">
        <v>2.0400000000000001E-2</v>
      </c>
      <c r="I138" s="6">
        <f t="shared" si="9"/>
        <v>42641.178866036018</v>
      </c>
      <c r="J138" s="6">
        <f t="shared" si="19"/>
        <v>42641.178866036018</v>
      </c>
    </row>
    <row r="139" spans="1:10" x14ac:dyDescent="0.25">
      <c r="A139" s="21">
        <v>2018</v>
      </c>
      <c r="B139" s="21">
        <v>8</v>
      </c>
      <c r="C139" s="22">
        <v>5.7000000000000002E-3</v>
      </c>
      <c r="D139" s="22"/>
      <c r="E139" s="23">
        <v>79679</v>
      </c>
      <c r="F139" s="22">
        <v>5.7000000000000002E-3</v>
      </c>
      <c r="I139" s="6">
        <f t="shared" si="9"/>
        <v>39308.178866036018</v>
      </c>
      <c r="J139" s="6">
        <f t="shared" si="19"/>
        <v>39308.178866036018</v>
      </c>
    </row>
    <row r="140" spans="1:10" x14ac:dyDescent="0.25">
      <c r="A140" s="21">
        <v>2018</v>
      </c>
      <c r="B140" s="21">
        <v>9</v>
      </c>
      <c r="C140" s="129">
        <v>-2.3E-3</v>
      </c>
      <c r="D140" s="22"/>
      <c r="E140" s="23">
        <v>76165</v>
      </c>
      <c r="F140" s="22">
        <v>-2.3E-3</v>
      </c>
      <c r="I140" s="6">
        <f t="shared" si="9"/>
        <v>35975.178866036018</v>
      </c>
      <c r="J140" s="6">
        <f t="shared" ref="J140:J143" si="20">I140+(I140*C140)</f>
        <v>35892.435954644134</v>
      </c>
    </row>
    <row r="141" spans="1:10" x14ac:dyDescent="0.25">
      <c r="A141" s="21">
        <v>2018</v>
      </c>
      <c r="B141" s="21">
        <v>10</v>
      </c>
      <c r="C141" s="129">
        <v>-2.2700000000000001E-2</v>
      </c>
      <c r="D141" s="22"/>
      <c r="E141" s="23">
        <v>71103</v>
      </c>
      <c r="F141" s="22">
        <v>-2.2700000000000001E-2</v>
      </c>
      <c r="I141" s="6">
        <f t="shared" si="9"/>
        <v>32559.435954644134</v>
      </c>
      <c r="J141" s="6">
        <f t="shared" si="20"/>
        <v>31820.336758473713</v>
      </c>
    </row>
    <row r="142" spans="1:10" x14ac:dyDescent="0.25">
      <c r="A142" s="21">
        <v>2018</v>
      </c>
      <c r="B142" s="21">
        <v>11</v>
      </c>
      <c r="C142" s="22">
        <v>1.6299999999999999E-2</v>
      </c>
      <c r="D142" s="22"/>
      <c r="E142" s="23">
        <v>68926</v>
      </c>
      <c r="F142" s="22">
        <v>1.6299999999999999E-2</v>
      </c>
      <c r="I142" s="6">
        <f t="shared" si="9"/>
        <v>28487.336758473713</v>
      </c>
      <c r="J142" s="6">
        <f t="shared" ref="J142" si="21">I142+(I142*(D142-D142*$K$28))</f>
        <v>28487.336758473713</v>
      </c>
    </row>
    <row r="143" spans="1:10" x14ac:dyDescent="0.25">
      <c r="A143" s="21">
        <v>2018</v>
      </c>
      <c r="B143" s="21">
        <v>12</v>
      </c>
      <c r="C143" s="129">
        <v>-2.0799999999999999E-2</v>
      </c>
      <c r="D143" s="22"/>
      <c r="E143" s="23">
        <v>64158</v>
      </c>
      <c r="F143" s="22">
        <v>-2.0799999999999999E-2</v>
      </c>
      <c r="I143" s="6">
        <f t="shared" si="9"/>
        <v>25154.336758473713</v>
      </c>
      <c r="J143" s="6">
        <f t="shared" si="20"/>
        <v>24631.126553897459</v>
      </c>
    </row>
    <row r="144" spans="1:10" x14ac:dyDescent="0.25">
      <c r="A144" s="21">
        <v>2019</v>
      </c>
      <c r="B144" s="21">
        <v>1</v>
      </c>
      <c r="C144" s="22">
        <v>3.2300000000000002E-2</v>
      </c>
      <c r="D144" s="22"/>
      <c r="E144" s="23">
        <v>62900</v>
      </c>
      <c r="F144" s="22">
        <v>3.2300000000000002E-2</v>
      </c>
      <c r="I144" s="6">
        <f t="shared" si="9"/>
        <v>21298.126553897459</v>
      </c>
      <c r="J144" s="6">
        <f t="shared" ref="J144:J147" si="22">I144+(I144*(D144-D144*$K$28))</f>
        <v>21298.126553897459</v>
      </c>
    </row>
    <row r="145" spans="1:11" x14ac:dyDescent="0.25">
      <c r="A145" s="21">
        <v>2019</v>
      </c>
      <c r="B145" s="21">
        <v>2</v>
      </c>
      <c r="C145" s="22">
        <v>1.5100000000000001E-2</v>
      </c>
      <c r="D145" s="22"/>
      <c r="E145" s="23">
        <v>60515</v>
      </c>
      <c r="F145" s="22">
        <v>1.5100000000000001E-2</v>
      </c>
      <c r="I145" s="6">
        <f t="shared" si="9"/>
        <v>17965.126553897459</v>
      </c>
      <c r="J145" s="6">
        <f t="shared" si="22"/>
        <v>17965.126553897459</v>
      </c>
    </row>
    <row r="146" spans="1:11" x14ac:dyDescent="0.25">
      <c r="A146" s="21">
        <v>2019</v>
      </c>
      <c r="B146" s="21">
        <v>3</v>
      </c>
      <c r="C146" s="22">
        <v>1.8800000000000001E-2</v>
      </c>
      <c r="D146" s="22"/>
      <c r="E146" s="23">
        <v>58317</v>
      </c>
      <c r="F146" s="22">
        <v>1.8800000000000001E-2</v>
      </c>
      <c r="I146" s="6">
        <f t="shared" si="9"/>
        <v>14632.126553897459</v>
      </c>
      <c r="J146" s="6">
        <f t="shared" si="22"/>
        <v>14632.126553897459</v>
      </c>
    </row>
    <row r="147" spans="1:11" x14ac:dyDescent="0.25">
      <c r="A147" s="21">
        <v>2019</v>
      </c>
      <c r="B147" s="21">
        <v>4</v>
      </c>
      <c r="C147" s="22">
        <v>1.0800000000000001E-2</v>
      </c>
      <c r="D147" s="22"/>
      <c r="E147" s="23">
        <v>55615</v>
      </c>
      <c r="F147" s="22">
        <v>1.0800000000000001E-2</v>
      </c>
      <c r="I147" s="6">
        <f t="shared" si="9"/>
        <v>11299.126553897459</v>
      </c>
      <c r="J147" s="6">
        <f t="shared" si="22"/>
        <v>11299.126553897459</v>
      </c>
    </row>
    <row r="148" spans="1:11" x14ac:dyDescent="0.25">
      <c r="A148" s="21">
        <v>2019</v>
      </c>
      <c r="B148" s="21">
        <v>5</v>
      </c>
      <c r="C148" s="129">
        <v>-6.4999999999999997E-3</v>
      </c>
      <c r="D148" s="22"/>
      <c r="E148" s="23">
        <v>51921</v>
      </c>
      <c r="F148" s="22">
        <v>-6.4999999999999997E-3</v>
      </c>
      <c r="I148" s="6">
        <f t="shared" si="9"/>
        <v>7966.1265538974585</v>
      </c>
      <c r="J148" s="6">
        <f t="shared" ref="J148" si="23">I148+(I148*C148)</f>
        <v>7914.3467312971252</v>
      </c>
    </row>
    <row r="149" spans="1:11" x14ac:dyDescent="0.25">
      <c r="A149" s="21">
        <v>2019</v>
      </c>
      <c r="B149" s="21">
        <v>6</v>
      </c>
      <c r="C149" s="22">
        <v>3.1399999999999997E-2</v>
      </c>
      <c r="D149" s="22"/>
      <c r="E149" s="23">
        <v>50220</v>
      </c>
      <c r="F149" s="22">
        <v>3.1399999999999997E-2</v>
      </c>
      <c r="I149" s="6">
        <f t="shared" si="9"/>
        <v>4581.3467312971252</v>
      </c>
      <c r="J149" s="6">
        <f t="shared" ref="J149:J155" si="24">I149+(I149*(D149-D149*$K$28))</f>
        <v>4581.3467312971252</v>
      </c>
    </row>
    <row r="150" spans="1:11" x14ac:dyDescent="0.25">
      <c r="A150" s="21">
        <v>2019</v>
      </c>
      <c r="B150" s="21">
        <v>7</v>
      </c>
      <c r="C150" s="22">
        <v>4.8999999999999998E-3</v>
      </c>
      <c r="D150" s="22"/>
      <c r="E150" s="23">
        <v>47133</v>
      </c>
      <c r="F150" s="22">
        <v>4.8999999999999998E-3</v>
      </c>
      <c r="I150" s="6">
        <f t="shared" si="9"/>
        <v>1248.3467312971252</v>
      </c>
      <c r="J150" s="6">
        <f t="shared" si="24"/>
        <v>1248.3467312971252</v>
      </c>
    </row>
    <row r="151" spans="1:11" x14ac:dyDescent="0.25">
      <c r="A151" s="21">
        <v>2019</v>
      </c>
      <c r="B151" s="21">
        <v>8</v>
      </c>
      <c r="C151" s="22">
        <v>1.6799999999999999E-2</v>
      </c>
      <c r="D151" s="22"/>
      <c r="E151" s="23">
        <v>44592</v>
      </c>
      <c r="F151" s="22">
        <v>1.6799999999999999E-2</v>
      </c>
      <c r="I151" s="6">
        <f t="shared" si="9"/>
        <v>-2084.6532687028748</v>
      </c>
      <c r="J151" s="109">
        <f t="shared" si="24"/>
        <v>-2084.6532687028748</v>
      </c>
      <c r="K151">
        <f>8/12</f>
        <v>0.66666666666666663</v>
      </c>
    </row>
    <row r="152" spans="1:11" x14ac:dyDescent="0.25">
      <c r="A152" s="21">
        <v>2019</v>
      </c>
      <c r="B152" s="21">
        <v>9</v>
      </c>
      <c r="C152" s="22">
        <v>5.8999999999999999E-3</v>
      </c>
      <c r="D152" s="22"/>
      <c r="E152" s="23">
        <v>41524</v>
      </c>
      <c r="F152" s="22">
        <v>5.8999999999999999E-3</v>
      </c>
      <c r="I152" s="6">
        <f t="shared" si="9"/>
        <v>-5417.6532687028748</v>
      </c>
      <c r="J152" s="6">
        <f t="shared" si="24"/>
        <v>-5417.6532687028748</v>
      </c>
    </row>
    <row r="153" spans="1:11" x14ac:dyDescent="0.25">
      <c r="A153" s="21">
        <v>2019</v>
      </c>
      <c r="B153" s="21">
        <v>10</v>
      </c>
      <c r="C153" s="22">
        <v>6.3E-3</v>
      </c>
      <c r="D153" s="22"/>
      <c r="E153" s="23">
        <v>38450</v>
      </c>
      <c r="F153" s="22">
        <v>6.3E-3</v>
      </c>
      <c r="I153" s="6">
        <f t="shared" si="9"/>
        <v>-8750.6532687028739</v>
      </c>
      <c r="J153" s="6">
        <f t="shared" si="24"/>
        <v>-8750.6532687028739</v>
      </c>
    </row>
    <row r="154" spans="1:11" x14ac:dyDescent="0.25">
      <c r="A154" s="21">
        <v>2019</v>
      </c>
      <c r="B154" s="21">
        <v>11</v>
      </c>
      <c r="C154" s="22">
        <v>6.1999999999999998E-3</v>
      </c>
      <c r="D154" s="22"/>
      <c r="E154" s="23">
        <v>35356</v>
      </c>
      <c r="F154" s="22">
        <v>6.1999999999999998E-3</v>
      </c>
      <c r="I154" s="6">
        <f t="shared" si="9"/>
        <v>-12083.653268702874</v>
      </c>
      <c r="J154" s="6">
        <f t="shared" si="24"/>
        <v>-12083.653268702874</v>
      </c>
    </row>
    <row r="155" spans="1:11" x14ac:dyDescent="0.25">
      <c r="A155" s="24">
        <v>2019</v>
      </c>
      <c r="B155" s="24">
        <v>12</v>
      </c>
      <c r="C155" s="25">
        <v>1.14E-2</v>
      </c>
      <c r="D155" s="25"/>
      <c r="E155" s="26">
        <v>32426</v>
      </c>
      <c r="F155" s="25">
        <v>1.14E-2</v>
      </c>
      <c r="I155" s="6">
        <f t="shared" si="9"/>
        <v>-15416.653268702874</v>
      </c>
      <c r="J155" s="6">
        <f t="shared" si="24"/>
        <v>-15416.653268702874</v>
      </c>
    </row>
    <row r="156" spans="1:11" x14ac:dyDescent="0.25">
      <c r="A156" s="21" t="s">
        <v>21</v>
      </c>
      <c r="B156" s="21"/>
      <c r="C156" s="21"/>
      <c r="D156" s="21"/>
      <c r="E156" s="21"/>
      <c r="F156" s="2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9E109-58E4-4856-A897-6CD3FCD82ADF}">
  <dimension ref="A1:V155"/>
  <sheetViews>
    <sheetView workbookViewId="0"/>
  </sheetViews>
  <sheetFormatPr defaultRowHeight="15" x14ac:dyDescent="0.25"/>
  <cols>
    <col min="1" max="4" width="9.140625" style="9"/>
    <col min="5" max="5" width="12" style="9" customWidth="1"/>
    <col min="6" max="8" width="9.140625" style="9"/>
    <col min="9" max="9" width="15.140625" style="9" customWidth="1"/>
    <col min="10" max="16384" width="9.140625" style="9"/>
  </cols>
  <sheetData>
    <row r="1" spans="1:22" x14ac:dyDescent="0.25">
      <c r="A1" s="9" t="s">
        <v>43</v>
      </c>
      <c r="K1" s="9" t="s">
        <v>75</v>
      </c>
      <c r="L1" s="9" t="s">
        <v>6</v>
      </c>
      <c r="M1" s="130">
        <f>C4*5</f>
        <v>0.34531578947368413</v>
      </c>
      <c r="N1" s="131">
        <f>M1/M2</f>
        <v>1.5415883458646613</v>
      </c>
      <c r="R1" s="130">
        <f>C4</f>
        <v>6.9063157894736826E-2</v>
      </c>
      <c r="V1" s="165">
        <f>D4</f>
        <v>1.6118941834769713E-2</v>
      </c>
    </row>
    <row r="2" spans="1:22" ht="90" x14ac:dyDescent="0.25">
      <c r="A2" s="9" t="s">
        <v>0</v>
      </c>
      <c r="B2" s="9" t="s">
        <v>1</v>
      </c>
      <c r="C2" s="9" t="s">
        <v>2</v>
      </c>
      <c r="E2" s="9" t="s">
        <v>3</v>
      </c>
      <c r="F2" s="132" t="s">
        <v>35</v>
      </c>
      <c r="G2" s="132" t="s">
        <v>19</v>
      </c>
      <c r="H2" s="132" t="s">
        <v>42</v>
      </c>
      <c r="I2" s="9" t="s">
        <v>82</v>
      </c>
      <c r="K2" s="133"/>
      <c r="L2" s="9" t="s">
        <v>7</v>
      </c>
      <c r="M2" s="134">
        <v>0.224</v>
      </c>
      <c r="P2" s="9" t="s">
        <v>8</v>
      </c>
      <c r="Q2" s="9">
        <v>200000</v>
      </c>
      <c r="R2" s="9">
        <v>40000</v>
      </c>
      <c r="S2" s="9" t="s">
        <v>9</v>
      </c>
      <c r="T2" s="9" t="s">
        <v>8</v>
      </c>
      <c r="U2" s="9">
        <v>200000</v>
      </c>
      <c r="V2" s="9">
        <v>40000</v>
      </c>
    </row>
    <row r="3" spans="1:22" ht="15.75" thickBot="1" x14ac:dyDescent="0.3">
      <c r="A3" s="9" t="s">
        <v>5</v>
      </c>
      <c r="P3" s="9">
        <v>1</v>
      </c>
      <c r="Q3" s="9">
        <f>Q2 - R2</f>
        <v>160000</v>
      </c>
      <c r="R3" s="135">
        <f>Q3*(1+R1)</f>
        <v>171050.10526315786</v>
      </c>
      <c r="T3" s="9">
        <v>1</v>
      </c>
      <c r="U3" s="9">
        <f>U2 - V2</f>
        <v>160000</v>
      </c>
      <c r="V3" s="135">
        <f>U3*(1+V1)</f>
        <v>162579.03069356317</v>
      </c>
    </row>
    <row r="4" spans="1:22" x14ac:dyDescent="0.25">
      <c r="C4" s="136">
        <f>AVERAGE(C5:C23)</f>
        <v>6.9063157894736826E-2</v>
      </c>
      <c r="D4" s="136">
        <f>AVERAGE(D5:D23)</f>
        <v>1.6118941834769713E-2</v>
      </c>
      <c r="F4" s="136">
        <f>AVERAGE(F5:F23)</f>
        <v>4.1826315789473684E-2</v>
      </c>
      <c r="G4" s="136">
        <f t="shared" ref="G4:H4" si="0">AVERAGE(G5:G23)</f>
        <v>9.0510526315789458E-2</v>
      </c>
      <c r="H4" s="136">
        <f t="shared" si="0"/>
        <v>7.1984210526315789E-2</v>
      </c>
      <c r="I4" s="130" t="s">
        <v>36</v>
      </c>
      <c r="K4" s="137" t="s">
        <v>76</v>
      </c>
      <c r="L4" s="138" t="s">
        <v>6</v>
      </c>
      <c r="M4" s="139">
        <f>M1</f>
        <v>0.34531578947368413</v>
      </c>
      <c r="N4" s="140">
        <f>M4/M5</f>
        <v>2.4318013343217193</v>
      </c>
      <c r="P4" s="9">
        <v>2</v>
      </c>
      <c r="Q4" s="135">
        <f>R3-R2</f>
        <v>131050.10526315786</v>
      </c>
      <c r="R4" s="135">
        <f>Q4*(1+R1)</f>
        <v>140100.83937506919</v>
      </c>
      <c r="T4" s="9">
        <v>2</v>
      </c>
      <c r="U4" s="135">
        <f>V3-V2</f>
        <v>122579.03069356317</v>
      </c>
      <c r="V4" s="135">
        <f>U4*(1+V1)</f>
        <v>124554.87495947517</v>
      </c>
    </row>
    <row r="5" spans="1:22" ht="15.75" thickBot="1" x14ac:dyDescent="0.3">
      <c r="A5" s="9">
        <v>2001</v>
      </c>
      <c r="B5" s="136">
        <v>1.55E-2</v>
      </c>
      <c r="C5" s="136">
        <v>2.23E-2</v>
      </c>
      <c r="D5" s="136">
        <f>(0.25*F5-F5*'TAX reduces gains by'!$Y$5)  +  (0.25*G5-G5*'TAX reduces gains by'!$Y$4)  +  (0.5*H5-H5*'TAX reduces gains by'!$Y$3)</f>
        <v>2.2930436601982851E-2</v>
      </c>
      <c r="E5" s="141">
        <v>1022</v>
      </c>
      <c r="F5" s="136">
        <v>5.0500000000000003E-2</v>
      </c>
      <c r="G5" s="136">
        <v>-0.1089</v>
      </c>
      <c r="H5" s="136">
        <v>7.3899999999999993E-2</v>
      </c>
      <c r="I5" s="9">
        <v>1</v>
      </c>
      <c r="K5" s="142"/>
      <c r="L5" s="143" t="s">
        <v>7</v>
      </c>
      <c r="M5" s="144">
        <v>0.14199999999999999</v>
      </c>
      <c r="N5" s="145"/>
      <c r="P5" s="9">
        <v>3</v>
      </c>
      <c r="Q5" s="135">
        <f>R4-R2</f>
        <v>100100.83937506919</v>
      </c>
      <c r="R5" s="135">
        <f>Q5*(1+R1)</f>
        <v>107014.11945022528</v>
      </c>
      <c r="T5" s="9">
        <v>3</v>
      </c>
      <c r="U5" s="135">
        <f>V4-V2</f>
        <v>84554.874959475172</v>
      </c>
      <c r="V5" s="135">
        <f>U5*(1+V1)</f>
        <v>85917.810070793188</v>
      </c>
    </row>
    <row r="6" spans="1:22" ht="15.75" thickBot="1" x14ac:dyDescent="0.3">
      <c r="A6" s="9">
        <v>2002</v>
      </c>
      <c r="B6" s="136">
        <v>2.3800000000000002E-2</v>
      </c>
      <c r="C6" s="165">
        <v>-9.4000000000000004E-3</v>
      </c>
      <c r="D6" s="136">
        <f>C6</f>
        <v>-9.4000000000000004E-3</v>
      </c>
      <c r="E6" s="141">
        <v>1013</v>
      </c>
      <c r="F6" s="136">
        <v>7.9100000000000004E-2</v>
      </c>
      <c r="G6" s="136">
        <v>-0.20949999999999999</v>
      </c>
      <c r="H6" s="136">
        <v>4.6399999999999997E-2</v>
      </c>
      <c r="I6" s="9">
        <v>2</v>
      </c>
      <c r="P6" s="9">
        <v>4</v>
      </c>
      <c r="Q6" s="135">
        <f>R5-R2</f>
        <v>67014.119450225277</v>
      </c>
      <c r="R6" s="135">
        <f>Q6*(1+R1)</f>
        <v>71642.326162992933</v>
      </c>
      <c r="T6" s="9">
        <v>4</v>
      </c>
      <c r="U6" s="135">
        <f>V5-V2</f>
        <v>45917.810070793188</v>
      </c>
      <c r="V6" s="135">
        <f>U6*(1+V1)</f>
        <v>46657.956580504309</v>
      </c>
    </row>
    <row r="7" spans="1:22" x14ac:dyDescent="0.25">
      <c r="A7" s="9">
        <v>2003</v>
      </c>
      <c r="B7" s="136">
        <v>1.8800000000000001E-2</v>
      </c>
      <c r="C7" s="136">
        <v>0.13800000000000001</v>
      </c>
      <c r="D7" s="136">
        <f>(0.25*F7-F7*'TAX reduces gains by'!$Y$5)  +  (0.25*G7-G7*'TAX reduces gains by'!$Y$4)  +  (0.5*H7-H7*'TAX reduces gains by'!$Y$3)</f>
        <v>3.470272860979505E-2</v>
      </c>
      <c r="E7" s="141">
        <v>1152</v>
      </c>
      <c r="F7" s="136">
        <v>4.4600000000000001E-2</v>
      </c>
      <c r="G7" s="136">
        <v>0.31419999999999998</v>
      </c>
      <c r="H7" s="136">
        <v>9.6600000000000005E-2</v>
      </c>
      <c r="I7" s="9">
        <v>3</v>
      </c>
      <c r="K7" s="146" t="s">
        <v>139</v>
      </c>
      <c r="L7" s="147" t="s">
        <v>6</v>
      </c>
      <c r="M7" s="148">
        <f>D4*5</f>
        <v>8.0594709173848561E-2</v>
      </c>
      <c r="N7" s="149">
        <f>M7/M8</f>
        <v>0.56756837446372232</v>
      </c>
      <c r="P7" s="9">
        <v>5</v>
      </c>
      <c r="Q7" s="135">
        <f>R6-R2</f>
        <v>31642.326162992933</v>
      </c>
      <c r="R7" s="135">
        <f>Q7*(1+R1)</f>
        <v>33827.645130944475</v>
      </c>
      <c r="T7" s="9">
        <v>5</v>
      </c>
      <c r="U7" s="135">
        <f>V6-V2</f>
        <v>6657.9565805043094</v>
      </c>
      <c r="V7" s="167">
        <f>U7*(1+V1)</f>
        <v>6765.2757953638811</v>
      </c>
    </row>
    <row r="8" spans="1:22" ht="15.75" thickBot="1" x14ac:dyDescent="0.3">
      <c r="A8" s="9">
        <v>2004</v>
      </c>
      <c r="B8" s="136">
        <v>3.2599999999999997E-2</v>
      </c>
      <c r="C8" s="136">
        <v>7.7399999999999997E-2</v>
      </c>
      <c r="D8" s="136">
        <f>(0.25*F8-F8*'TAX reduces gains by'!$Y$5)  +  (0.25*G8-G8*'TAX reduces gains by'!$Y$4)  +  (0.5*H8-H8*'TAX reduces gains by'!$Y$3)</f>
        <v>2.4261151028892234E-2</v>
      </c>
      <c r="E8" s="141">
        <v>1242</v>
      </c>
      <c r="F8" s="136">
        <v>3.2300000000000002E-2</v>
      </c>
      <c r="G8" s="136">
        <v>0.12609999999999999</v>
      </c>
      <c r="H8" s="136">
        <v>7.5499999999999998E-2</v>
      </c>
      <c r="I8" s="9">
        <v>4</v>
      </c>
      <c r="K8" s="150"/>
      <c r="L8" s="151" t="s">
        <v>7</v>
      </c>
      <c r="M8" s="152">
        <f>M5</f>
        <v>0.14199999999999999</v>
      </c>
      <c r="N8" s="153"/>
    </row>
    <row r="9" spans="1:22" ht="15.75" thickBot="1" x14ac:dyDescent="0.3">
      <c r="A9" s="9">
        <v>2005</v>
      </c>
      <c r="B9" s="136">
        <v>3.4200000000000001E-2</v>
      </c>
      <c r="C9" s="136">
        <v>3.8199999999999998E-2</v>
      </c>
      <c r="D9" s="136">
        <f>(0.25*F9-F9*'TAX reduces gains by'!$Y$5)  +  (0.25*G9-G9*'TAX reduces gains by'!$Y$4)  +  (0.5*H9-H9*'TAX reduces gains by'!$Y$3)</f>
        <v>1.2732269040688443E-2</v>
      </c>
      <c r="E9" s="141">
        <v>1289</v>
      </c>
      <c r="F9" s="136">
        <v>2.24E-2</v>
      </c>
      <c r="G9" s="136">
        <v>6.0900000000000003E-2</v>
      </c>
      <c r="H9" s="136">
        <v>3.4799999999999998E-2</v>
      </c>
      <c r="I9" s="9">
        <v>5</v>
      </c>
    </row>
    <row r="10" spans="1:22" x14ac:dyDescent="0.25">
      <c r="A10" s="9">
        <v>2006</v>
      </c>
      <c r="B10" s="136">
        <v>2.5399999999999999E-2</v>
      </c>
      <c r="C10" s="136">
        <v>0.1065</v>
      </c>
      <c r="D10" s="136">
        <f>(0.25*F10-F10*'TAX reduces gains by'!$Y$5)  +  (0.25*G10-G10*'TAX reduces gains by'!$Y$4)  +  (0.5*H10-H10*'TAX reduces gains by'!$Y$3)</f>
        <v>3.4827503351238492E-2</v>
      </c>
      <c r="E10" s="141">
        <v>1426</v>
      </c>
      <c r="F10" s="136">
        <v>4.4299999999999999E-2</v>
      </c>
      <c r="G10" s="136">
        <v>0.15629999999999999</v>
      </c>
      <c r="H10" s="136">
        <v>0.1128</v>
      </c>
      <c r="I10" s="9">
        <v>6</v>
      </c>
      <c r="K10" s="241" t="s">
        <v>184</v>
      </c>
      <c r="L10" s="242" t="s">
        <v>6</v>
      </c>
      <c r="M10" s="243" t="s">
        <v>36</v>
      </c>
      <c r="N10" s="244" t="e">
        <f>M10/M11</f>
        <v>#VALUE!</v>
      </c>
      <c r="P10" s="9" t="s">
        <v>10</v>
      </c>
      <c r="T10" s="9" t="s">
        <v>10</v>
      </c>
    </row>
    <row r="11" spans="1:22" ht="15.75" thickBot="1" x14ac:dyDescent="0.3">
      <c r="A11" s="9">
        <v>2007</v>
      </c>
      <c r="B11" s="136">
        <v>4.0800000000000003E-2</v>
      </c>
      <c r="C11" s="136">
        <v>5.0500000000000003E-2</v>
      </c>
      <c r="D11" s="136">
        <f>(0.25*F11-F11*'TAX reduces gains by'!$Y$5)  +  (0.25*G11-G11*'TAX reduces gains by'!$Y$4)  +  (0.5*H11-H11*'TAX reduces gains by'!$Y$3)</f>
        <v>1.9328649641454154E-2</v>
      </c>
      <c r="E11" s="141">
        <v>1498</v>
      </c>
      <c r="F11" s="136">
        <v>3.4299999999999997E-2</v>
      </c>
      <c r="G11" s="136">
        <v>5.57E-2</v>
      </c>
      <c r="H11" s="136">
        <v>5.6099999999999997E-2</v>
      </c>
      <c r="I11" s="9">
        <v>7</v>
      </c>
      <c r="K11" s="245" t="s">
        <v>183</v>
      </c>
      <c r="L11" s="246" t="s">
        <v>7</v>
      </c>
      <c r="M11" s="247">
        <f>M8</f>
        <v>0.14199999999999999</v>
      </c>
      <c r="N11" s="248"/>
      <c r="P11" s="9" t="s">
        <v>11</v>
      </c>
      <c r="T11" s="9" t="s">
        <v>11</v>
      </c>
    </row>
    <row r="12" spans="1:22" x14ac:dyDescent="0.25">
      <c r="A12" s="9">
        <v>2008</v>
      </c>
      <c r="B12" s="136">
        <v>8.9999999999999998E-4</v>
      </c>
      <c r="C12" s="165">
        <v>-0.14199999999999999</v>
      </c>
      <c r="D12" s="136">
        <f>C12</f>
        <v>-0.14199999999999999</v>
      </c>
      <c r="E12" s="141">
        <v>1286</v>
      </c>
      <c r="F12" s="136">
        <v>-1.4E-3</v>
      </c>
      <c r="G12" s="136">
        <v>-0.36990000000000001</v>
      </c>
      <c r="H12" s="136">
        <v>-9.8400000000000001E-2</v>
      </c>
      <c r="I12" s="9">
        <v>8</v>
      </c>
    </row>
    <row r="13" spans="1:22" x14ac:dyDescent="0.25">
      <c r="A13" s="9">
        <v>2009</v>
      </c>
      <c r="B13" s="136">
        <v>2.7199999999999998E-2</v>
      </c>
      <c r="C13" s="136">
        <v>0.1777</v>
      </c>
      <c r="D13" s="136">
        <f>(0.25*F13-F13*'TAX reduces gains by'!$Y$5)  +  (0.25*G13-G13*'TAX reduces gains by'!$Y$4)  +  (0.5*H13-H13*'TAX reduces gains by'!$Y$3)</f>
        <v>5.8586346004819781E-2</v>
      </c>
      <c r="E13" s="141">
        <v>1514</v>
      </c>
      <c r="F13" s="136">
        <v>0.1022</v>
      </c>
      <c r="G13" s="136">
        <v>0.2883</v>
      </c>
      <c r="H13" s="136">
        <v>0.16020000000000001</v>
      </c>
      <c r="I13" s="9">
        <v>9</v>
      </c>
    </row>
    <row r="14" spans="1:22" x14ac:dyDescent="0.25">
      <c r="A14" s="9">
        <v>2010</v>
      </c>
      <c r="B14" s="136">
        <v>1.4999999999999999E-2</v>
      </c>
      <c r="C14" s="136">
        <v>0.1017</v>
      </c>
      <c r="D14" s="136">
        <f>(0.25*F14-F14*'TAX reduces gains by'!$Y$5)  +  (0.25*G14-G14*'TAX reduces gains by'!$Y$4)  +  (0.5*H14-H14*'TAX reduces gains by'!$Y$3)</f>
        <v>2.9290396503499506E-2</v>
      </c>
      <c r="E14" s="141">
        <v>1668</v>
      </c>
      <c r="F14" s="136">
        <v>2.1299999999999999E-2</v>
      </c>
      <c r="G14" s="136">
        <v>0.1726</v>
      </c>
      <c r="H14" s="136">
        <v>0.1065</v>
      </c>
      <c r="I14" s="9">
        <v>10</v>
      </c>
    </row>
    <row r="15" spans="1:22" x14ac:dyDescent="0.25">
      <c r="A15" s="9">
        <v>2011</v>
      </c>
      <c r="B15" s="136">
        <v>2.9600000000000001E-2</v>
      </c>
      <c r="C15" s="136">
        <v>7.4899999999999994E-2</v>
      </c>
      <c r="D15" s="136">
        <f>(0.25*F15-F15*'TAX reduces gains by'!$Y$5)  +  (0.25*G15-G15*'TAX reduces gains by'!$Y$4)  +  (0.5*H15-H15*'TAX reduces gains by'!$Y$3)</f>
        <v>3.893634584275775E-2</v>
      </c>
      <c r="E15" s="141">
        <v>1793</v>
      </c>
      <c r="F15" s="136">
        <v>9.6199999999999994E-2</v>
      </c>
      <c r="G15" s="136">
        <v>1.0800000000000001E-2</v>
      </c>
      <c r="H15" s="136">
        <v>9.6299999999999997E-2</v>
      </c>
      <c r="I15" s="9">
        <v>11</v>
      </c>
    </row>
    <row r="16" spans="1:22" x14ac:dyDescent="0.25">
      <c r="A16" s="9">
        <v>2012</v>
      </c>
      <c r="B16" s="136">
        <v>1.7399999999999999E-2</v>
      </c>
      <c r="C16" s="136">
        <v>0.1055</v>
      </c>
      <c r="D16" s="136">
        <f>(0.25*F16-F16*'TAX reduces gains by'!$Y$5)  +  (0.25*G16-G16*'TAX reduces gains by'!$Y$4)  +  (0.5*H16-H16*'TAX reduces gains by'!$Y$3)</f>
        <v>3.502217155064042E-2</v>
      </c>
      <c r="E16" s="141">
        <v>1982</v>
      </c>
      <c r="F16" s="136">
        <v>5.7000000000000002E-2</v>
      </c>
      <c r="G16" s="136">
        <v>0.1638</v>
      </c>
      <c r="H16" s="136">
        <v>0.10059999999999999</v>
      </c>
      <c r="I16" s="9">
        <v>12</v>
      </c>
    </row>
    <row r="17" spans="1:17" x14ac:dyDescent="0.25">
      <c r="A17" s="9">
        <v>2013</v>
      </c>
      <c r="B17" s="136">
        <v>1.4999999999999999E-2</v>
      </c>
      <c r="C17" s="136">
        <v>0.12590000000000001</v>
      </c>
      <c r="D17" s="136">
        <f>(0.25*F17-F17*'TAX reduces gains by'!$Y$5)  +  (0.25*G17-G17*'TAX reduces gains by'!$Y$4)  +  (0.5*H17-H17*'TAX reduces gains by'!$Y$3)</f>
        <v>2.2180354177492787E-2</v>
      </c>
      <c r="E17" s="141">
        <v>2232</v>
      </c>
      <c r="F17" s="136">
        <v>-1.5599999999999999E-2</v>
      </c>
      <c r="G17" s="136">
        <v>0.3352</v>
      </c>
      <c r="H17" s="136">
        <v>9.1899999999999996E-2</v>
      </c>
      <c r="I17" s="9">
        <v>13</v>
      </c>
    </row>
    <row r="18" spans="1:17" x14ac:dyDescent="0.25">
      <c r="A18" s="9">
        <v>2014</v>
      </c>
      <c r="B18" s="136">
        <v>7.6E-3</v>
      </c>
      <c r="C18" s="136">
        <v>8.9800000000000005E-2</v>
      </c>
      <c r="D18" s="136">
        <f>(0.25*F18-F18*'TAX reduces gains by'!$Y$5)  +  (0.25*G18-G18*'TAX reduces gains by'!$Y$4)  +  (0.5*H18-H18*'TAX reduces gains by'!$Y$3)</f>
        <v>3.3308676124005204E-2</v>
      </c>
      <c r="E18" s="141">
        <v>2432</v>
      </c>
      <c r="F18" s="136">
        <v>7.2499999999999995E-2</v>
      </c>
      <c r="G18" s="136">
        <v>0.12559999999999999</v>
      </c>
      <c r="H18" s="136">
        <v>8.0699999999999994E-2</v>
      </c>
      <c r="I18" s="9">
        <v>14</v>
      </c>
    </row>
    <row r="19" spans="1:17" x14ac:dyDescent="0.25">
      <c r="A19" s="9">
        <v>2015</v>
      </c>
      <c r="B19" s="136">
        <v>7.3000000000000001E-3</v>
      </c>
      <c r="C19" s="136">
        <v>1.4500000000000001E-2</v>
      </c>
      <c r="D19" s="136">
        <f>(0.25*F19-F19*'TAX reduces gains by'!$Y$5)  +  (0.25*G19-G19*'TAX reduces gains by'!$Y$4)  +  (0.5*H19-H19*'TAX reduces gains by'!$Y$3)</f>
        <v>8.3708473141958506E-3</v>
      </c>
      <c r="E19" s="141">
        <v>2467</v>
      </c>
      <c r="F19" s="136">
        <v>2.86E-2</v>
      </c>
      <c r="G19" s="136">
        <v>3.8999999999999998E-3</v>
      </c>
      <c r="H19" s="136">
        <v>1.2800000000000001E-2</v>
      </c>
      <c r="I19" s="9">
        <v>15</v>
      </c>
    </row>
    <row r="20" spans="1:17" x14ac:dyDescent="0.25">
      <c r="A20" s="9">
        <v>2016</v>
      </c>
      <c r="B20" s="136">
        <v>2.07E-2</v>
      </c>
      <c r="C20" s="136">
        <v>7.2300000000000003E-2</v>
      </c>
      <c r="D20" s="136">
        <f>(0.25*F20-F20*'TAX reduces gains by'!$Y$5)  +  (0.25*G20-G20*'TAX reduces gains by'!$Y$4)  +  (0.5*H20-H20*'TAX reduces gains by'!$Y$3)</f>
        <v>1.9079789028082824E-2</v>
      </c>
      <c r="E20" s="141">
        <v>2646</v>
      </c>
      <c r="F20" s="136">
        <v>8.0000000000000004E-4</v>
      </c>
      <c r="G20" s="136">
        <v>0.12659999999999999</v>
      </c>
      <c r="H20" s="136">
        <v>8.0799999999999997E-2</v>
      </c>
      <c r="I20" s="9">
        <v>16</v>
      </c>
    </row>
    <row r="21" spans="1:17" x14ac:dyDescent="0.25">
      <c r="A21" s="9">
        <v>2017</v>
      </c>
      <c r="B21" s="136">
        <v>2.1100000000000001E-2</v>
      </c>
      <c r="C21" s="136">
        <v>0.1152</v>
      </c>
      <c r="D21" s="136">
        <f>(0.25*F21-F21*'TAX reduces gains by'!$Y$5)  +  (0.25*G21-G21*'TAX reduces gains by'!$Y$4)  +  (0.5*H21-H21*'TAX reduces gains by'!$Y$3)</f>
        <v>3.3921606085188245E-2</v>
      </c>
      <c r="E21" s="141">
        <v>2951</v>
      </c>
      <c r="F21" s="136">
        <v>4.53E-2</v>
      </c>
      <c r="G21" s="136">
        <v>0.2117</v>
      </c>
      <c r="H21" s="136">
        <v>0.10199999999999999</v>
      </c>
      <c r="I21" s="9">
        <v>17</v>
      </c>
    </row>
    <row r="22" spans="1:17" x14ac:dyDescent="0.25">
      <c r="A22" s="9">
        <v>2018</v>
      </c>
      <c r="B22" s="136">
        <v>1.9099999999999999E-2</v>
      </c>
      <c r="C22" s="165">
        <v>-2.2700000000000001E-2</v>
      </c>
      <c r="D22" s="136">
        <f>C22</f>
        <v>-2.2700000000000001E-2</v>
      </c>
      <c r="E22" s="141">
        <v>2884</v>
      </c>
      <c r="F22" s="136">
        <v>1.2500000000000001E-2</v>
      </c>
      <c r="G22" s="136">
        <v>-5.1700000000000003E-2</v>
      </c>
      <c r="H22" s="136">
        <v>-2.5700000000000001E-2</v>
      </c>
      <c r="I22" s="9">
        <v>18</v>
      </c>
    </row>
    <row r="23" spans="1:17" x14ac:dyDescent="0.25">
      <c r="A23" s="9">
        <v>2019</v>
      </c>
      <c r="B23" s="136">
        <v>2.29E-2</v>
      </c>
      <c r="C23" s="136">
        <v>0.1759</v>
      </c>
      <c r="D23" s="136">
        <f>(0.25*F23-F23*'TAX reduces gains by'!$Y$5)  +  (0.25*G23-G23*'TAX reduces gains by'!$Y$4)  +  (0.5*H23-H23*'TAX reduces gains by'!$Y$3)</f>
        <v>5.2880623955890965E-2</v>
      </c>
      <c r="E23" s="141">
        <v>3391</v>
      </c>
      <c r="F23" s="136">
        <v>6.7799999999999999E-2</v>
      </c>
      <c r="G23" s="136">
        <v>0.308</v>
      </c>
      <c r="H23" s="136">
        <v>0.16389999999999999</v>
      </c>
      <c r="I23" s="9">
        <v>19</v>
      </c>
    </row>
    <row r="26" spans="1:17" x14ac:dyDescent="0.25">
      <c r="A26" s="9" t="s">
        <v>0</v>
      </c>
      <c r="B26" s="9" t="s">
        <v>18</v>
      </c>
      <c r="C26" s="9" t="s">
        <v>2</v>
      </c>
      <c r="E26" s="9" t="s">
        <v>3</v>
      </c>
      <c r="F26" s="9" t="s">
        <v>35</v>
      </c>
      <c r="G26" s="9" t="s">
        <v>56</v>
      </c>
      <c r="H26" s="9" t="s">
        <v>42</v>
      </c>
      <c r="M26" t="s">
        <v>140</v>
      </c>
      <c r="N26"/>
      <c r="O26"/>
      <c r="P26"/>
      <c r="Q26"/>
    </row>
    <row r="27" spans="1:17" x14ac:dyDescent="0.25">
      <c r="A27" s="9" t="s">
        <v>20</v>
      </c>
      <c r="I27" t="s">
        <v>141</v>
      </c>
      <c r="J27">
        <v>200000</v>
      </c>
      <c r="K27"/>
      <c r="M27" s="125">
        <f>'TAX reduces gains by'!AA4</f>
        <v>0</v>
      </c>
      <c r="N27" s="121" t="s">
        <v>150</v>
      </c>
      <c r="O27"/>
      <c r="P27"/>
      <c r="Q27"/>
    </row>
    <row r="28" spans="1:17" x14ac:dyDescent="0.25">
      <c r="C28" s="136">
        <f>AVERAGE(C29:C88)</f>
        <v>5.0866666666666656E-3</v>
      </c>
      <c r="D28" s="136">
        <f>AVERAGE(D29:D88)</f>
        <v>5.1208333333333331E-3</v>
      </c>
      <c r="I28" t="s">
        <v>142</v>
      </c>
      <c r="J28">
        <v>3333</v>
      </c>
      <c r="K28"/>
      <c r="M28"/>
      <c r="N28" t="s">
        <v>143</v>
      </c>
      <c r="O28"/>
      <c r="P28"/>
      <c r="Q28"/>
    </row>
    <row r="29" spans="1:17" x14ac:dyDescent="0.25">
      <c r="A29" s="9">
        <v>2008</v>
      </c>
      <c r="B29" s="9">
        <v>1</v>
      </c>
      <c r="C29" s="165">
        <v>-1.37E-2</v>
      </c>
      <c r="D29" s="136">
        <f>(0.25*F29)  +  (0.25*G29)  +  (0.5*H29)</f>
        <v>-1.3675E-2</v>
      </c>
      <c r="E29" s="141">
        <v>193928</v>
      </c>
      <c r="F29" s="136">
        <v>1.6299999999999999E-2</v>
      </c>
      <c r="G29" s="165">
        <v>-5.4600000000000003E-2</v>
      </c>
      <c r="H29" s="165">
        <v>-8.2000000000000007E-3</v>
      </c>
      <c r="I29" s="108">
        <f>(0.25*F29-F29*'TAX reduces gains by'!$Y$5)  +  (0.25*G29)  +  (0.5*H29)</f>
        <v>-1.4506161473087819E-2</v>
      </c>
      <c r="J29">
        <f>(J27-$J$28)</f>
        <v>196667</v>
      </c>
      <c r="K29" s="6">
        <f>J29+(J29*I29)</f>
        <v>193814.11674157224</v>
      </c>
      <c r="M29" s="110"/>
      <c r="N29" s="6">
        <v>195054.33059999999</v>
      </c>
      <c r="O29" s="6">
        <f>G29</f>
        <v>-5.4600000000000003E-2</v>
      </c>
      <c r="P29" s="112">
        <f>1-O29/N29</f>
        <v>1.0000002799220085</v>
      </c>
      <c r="Q29" t="s">
        <v>155</v>
      </c>
    </row>
    <row r="30" spans="1:17" x14ac:dyDescent="0.25">
      <c r="A30" s="9">
        <v>2008</v>
      </c>
      <c r="B30" s="9">
        <v>2</v>
      </c>
      <c r="C30" s="165">
        <v>-2.0299999999999999E-2</v>
      </c>
      <c r="D30" s="136">
        <f t="shared" ref="D30:D88" si="1">(0.25*F30)  +  (0.25*G30)  +  (0.5*H30)</f>
        <v>-2.0125000000000001E-2</v>
      </c>
      <c r="E30" s="141">
        <v>186650</v>
      </c>
      <c r="F30" s="165">
        <v>-4.0800000000000003E-2</v>
      </c>
      <c r="G30" s="165">
        <v>-1.3899999999999999E-2</v>
      </c>
      <c r="H30" s="165">
        <v>-1.29E-2</v>
      </c>
      <c r="I30" s="108">
        <f>D30</f>
        <v>-2.0125000000000001E-2</v>
      </c>
      <c r="J30" s="135">
        <f>K29-$J$28</f>
        <v>190481.11674157224</v>
      </c>
      <c r="K30" s="135">
        <f>J30+J30*I30</f>
        <v>186647.68426714811</v>
      </c>
    </row>
    <row r="31" spans="1:17" x14ac:dyDescent="0.25">
      <c r="A31" s="9">
        <v>2008</v>
      </c>
      <c r="B31" s="9">
        <v>3</v>
      </c>
      <c r="C31" s="136">
        <v>1.06E-2</v>
      </c>
      <c r="D31" s="136">
        <f t="shared" si="1"/>
        <v>1.0575000000000001E-2</v>
      </c>
      <c r="E31" s="141">
        <v>185287</v>
      </c>
      <c r="F31" s="136">
        <v>2.6200000000000001E-2</v>
      </c>
      <c r="G31" s="136">
        <v>8.5000000000000006E-3</v>
      </c>
      <c r="H31" s="136">
        <v>3.8E-3</v>
      </c>
      <c r="I31" s="1">
        <f>(0.25*F31-F31*'TAX reduces gains by'!$Y$5)  +  (0.25*G31-G31*'TAX reduces gains by'!$Y$4)  +  (0.5*H31-H31*'TAX reduces gains by'!$Y$3)</f>
        <v>6.1539859056912371E-3</v>
      </c>
      <c r="J31" s="135">
        <f t="shared" ref="J31:J88" si="2">K30-$J$28</f>
        <v>183314.68426714811</v>
      </c>
      <c r="K31" s="135">
        <f t="shared" ref="K31:K88" si="3">J31+J31*I31</f>
        <v>184442.80025043437</v>
      </c>
      <c r="M31" s="9" t="s">
        <v>160</v>
      </c>
    </row>
    <row r="32" spans="1:17" x14ac:dyDescent="0.25">
      <c r="A32" s="9">
        <v>2008</v>
      </c>
      <c r="B32" s="9">
        <v>4</v>
      </c>
      <c r="C32" s="136">
        <v>1.67E-2</v>
      </c>
      <c r="D32" s="136">
        <f t="shared" si="1"/>
        <v>1.7000000000000001E-2</v>
      </c>
      <c r="E32" s="141">
        <v>185055</v>
      </c>
      <c r="F32" s="136">
        <v>8.6999999999999994E-3</v>
      </c>
      <c r="G32" s="136">
        <v>3.5700000000000003E-2</v>
      </c>
      <c r="H32" s="136">
        <v>1.18E-2</v>
      </c>
      <c r="I32" s="1">
        <f>(0.25*F32-F32*'TAX reduces gains by'!$Y$5)  +  (0.25*G32-G32*'TAX reduces gains by'!$Y$4)  +  (0.5*H32-H32*'TAX reduces gains by'!$Y$3)</f>
        <v>4.8334364249141403E-3</v>
      </c>
      <c r="J32" s="135">
        <f t="shared" si="2"/>
        <v>181109.80025043437</v>
      </c>
      <c r="K32" s="135">
        <f t="shared" si="3"/>
        <v>181985.18295587375</v>
      </c>
    </row>
    <row r="33" spans="1:11" x14ac:dyDescent="0.25">
      <c r="A33" s="9">
        <v>2008</v>
      </c>
      <c r="B33" s="9">
        <v>5</v>
      </c>
      <c r="C33" s="136">
        <v>3.3E-3</v>
      </c>
      <c r="D33" s="136">
        <f t="shared" si="1"/>
        <v>3.3500000000000001E-3</v>
      </c>
      <c r="E33" s="141">
        <v>182329</v>
      </c>
      <c r="F33" s="136">
        <v>5.7000000000000002E-3</v>
      </c>
      <c r="G33" s="136">
        <v>1.89E-2</v>
      </c>
      <c r="H33" s="165">
        <v>-5.5999999999999999E-3</v>
      </c>
      <c r="I33" s="108">
        <f>(0.25*F33-F33*'TAX reduces gains by'!$Y$5)  +  (0.25*G33-G33*'TAX reduces gains by'!$Y$4)  +  (0.5*H33)</f>
        <v>-1.2934930336469328E-3</v>
      </c>
      <c r="J33" s="135">
        <f t="shared" si="2"/>
        <v>178652.18295587375</v>
      </c>
      <c r="K33" s="135">
        <f t="shared" si="3"/>
        <v>178421.0976017745</v>
      </c>
    </row>
    <row r="34" spans="1:11" x14ac:dyDescent="0.25">
      <c r="A34" s="9">
        <v>2008</v>
      </c>
      <c r="B34" s="9">
        <v>6</v>
      </c>
      <c r="C34" s="165">
        <v>-3.56E-2</v>
      </c>
      <c r="D34" s="136">
        <f t="shared" si="1"/>
        <v>-3.5699999999999996E-2</v>
      </c>
      <c r="E34" s="141">
        <v>172513</v>
      </c>
      <c r="F34" s="165">
        <v>-1.03E-2</v>
      </c>
      <c r="G34" s="165">
        <v>-6.4299999999999996E-2</v>
      </c>
      <c r="H34" s="165">
        <v>-3.4099999999999998E-2</v>
      </c>
      <c r="I34" s="108">
        <f>(0.25*F34-F34*'TAX reduces gains by'!$Y$5)  +  (0.25*G34-G34*'TAX reduces gains by'!$Y$4)  +  (0.5*H34-H34*'TAX reduces gains by'!$Y$3)</f>
        <v>-1.024889608326119E-2</v>
      </c>
      <c r="J34" s="135">
        <f t="shared" si="2"/>
        <v>175088.0976017745</v>
      </c>
      <c r="K34" s="135">
        <f t="shared" si="3"/>
        <v>173293.63788403801</v>
      </c>
    </row>
    <row r="35" spans="1:11" x14ac:dyDescent="0.25">
      <c r="A35" s="9">
        <v>2008</v>
      </c>
      <c r="B35" s="9">
        <v>7</v>
      </c>
      <c r="C35" s="136">
        <v>3.3E-3</v>
      </c>
      <c r="D35" s="136">
        <f t="shared" si="1"/>
        <v>3.2500000000000003E-3</v>
      </c>
      <c r="E35" s="141">
        <v>169744</v>
      </c>
      <c r="F35" s="136">
        <v>5.7000000000000002E-3</v>
      </c>
      <c r="G35" s="136">
        <v>4.3E-3</v>
      </c>
      <c r="H35" s="136">
        <v>1.5E-3</v>
      </c>
      <c r="I35" s="1">
        <f>(0.25*F35-F35*'TAX reduces gains by'!$Y$5)  +  (0.25*G35-G35*'TAX reduces gains by'!$Y$4)  +  (0.5*H35-H35*'TAX reduces gains by'!$Y$3)</f>
        <v>1.5239893084833022E-3</v>
      </c>
      <c r="J35" s="135">
        <f t="shared" si="2"/>
        <v>169960.63788403801</v>
      </c>
      <c r="K35" s="135">
        <f t="shared" si="3"/>
        <v>170219.65607903627</v>
      </c>
    </row>
    <row r="36" spans="1:11" x14ac:dyDescent="0.25">
      <c r="A36" s="9">
        <v>2008</v>
      </c>
      <c r="B36" s="9">
        <v>8</v>
      </c>
      <c r="C36" s="136">
        <v>1.23E-2</v>
      </c>
      <c r="D36" s="136">
        <f t="shared" si="1"/>
        <v>1.2375000000000001E-2</v>
      </c>
      <c r="E36" s="141">
        <v>168503</v>
      </c>
      <c r="F36" s="136">
        <v>1.18E-2</v>
      </c>
      <c r="G36" s="136">
        <v>2.2100000000000002E-2</v>
      </c>
      <c r="H36" s="136">
        <v>7.7999999999999996E-3</v>
      </c>
      <c r="I36" s="1">
        <f>(0.25*F36-F36*'TAX reduces gains by'!$Y$5)  +  (0.25*G36-G36*'TAX reduces gains by'!$Y$4)  +  (0.5*H36-H36*'TAX reduces gains by'!$Y$3)</f>
        <v>4.3693131483055203E-3</v>
      </c>
      <c r="J36" s="135">
        <f t="shared" si="2"/>
        <v>166886.65607903627</v>
      </c>
      <c r="K36" s="135">
        <f t="shared" si="3"/>
        <v>167615.83613971915</v>
      </c>
    </row>
    <row r="37" spans="1:11" x14ac:dyDescent="0.25">
      <c r="A37" s="9">
        <v>2008</v>
      </c>
      <c r="B37" s="9">
        <v>9</v>
      </c>
      <c r="C37" s="165">
        <v>-4.1500000000000002E-2</v>
      </c>
      <c r="D37" s="136">
        <f t="shared" si="1"/>
        <v>-4.1599999999999998E-2</v>
      </c>
      <c r="E37" s="141">
        <v>158173</v>
      </c>
      <c r="F37" s="165">
        <v>-3.9199999999999999E-2</v>
      </c>
      <c r="G37" s="165">
        <v>-5.7799999999999997E-2</v>
      </c>
      <c r="H37" s="165">
        <v>-3.4700000000000002E-2</v>
      </c>
      <c r="I37" s="108">
        <f>(0.25*F37)  +  (0.25*G37)  +  (0.5*H37)</f>
        <v>-4.1599999999999998E-2</v>
      </c>
      <c r="J37" s="135">
        <f t="shared" si="2"/>
        <v>164282.83613971915</v>
      </c>
      <c r="K37" s="135">
        <f t="shared" si="3"/>
        <v>157448.67015630682</v>
      </c>
    </row>
    <row r="38" spans="1:11" x14ac:dyDescent="0.25">
      <c r="A38" s="9">
        <v>2008</v>
      </c>
      <c r="B38" s="9">
        <v>10</v>
      </c>
      <c r="C38" s="165">
        <v>-7.0999999999999994E-2</v>
      </c>
      <c r="D38" s="136">
        <f t="shared" si="1"/>
        <v>-7.2624999999999995E-2</v>
      </c>
      <c r="E38" s="141">
        <v>143614</v>
      </c>
      <c r="F38" s="165">
        <v>1.1999999999999999E-3</v>
      </c>
      <c r="G38" s="165">
        <v>-0.1479</v>
      </c>
      <c r="H38" s="165">
        <v>-7.1900000000000006E-2</v>
      </c>
      <c r="I38" s="108">
        <f>(0.25*F38)  +  (0.25*G38)  +  (0.5*H38)</f>
        <v>-7.2624999999999995E-2</v>
      </c>
      <c r="J38" s="135">
        <f t="shared" si="2"/>
        <v>154115.67015630682</v>
      </c>
      <c r="K38" s="135">
        <f t="shared" si="3"/>
        <v>142923.01961120503</v>
      </c>
    </row>
    <row r="39" spans="1:11" x14ac:dyDescent="0.25">
      <c r="A39" s="9">
        <v>2008</v>
      </c>
      <c r="B39" s="9">
        <v>11</v>
      </c>
      <c r="C39" s="165">
        <v>-5.7000000000000002E-3</v>
      </c>
      <c r="D39" s="136">
        <f t="shared" si="1"/>
        <v>-6.7999999999999988E-3</v>
      </c>
      <c r="E39" s="141">
        <v>139465</v>
      </c>
      <c r="F39" s="136">
        <v>1.8E-3</v>
      </c>
      <c r="G39" s="165">
        <v>-3.56E-2</v>
      </c>
      <c r="H39" s="136">
        <v>3.3E-3</v>
      </c>
      <c r="I39" s="108">
        <f>(0.25*F39-F39*'TAX reduces gains by'!$Y$5)  +  (0.25*G39)  +  (0.5*H39-H39*'TAX reduces gains by'!$Y$3)</f>
        <v>-7.8708509676098156E-3</v>
      </c>
      <c r="J39" s="135">
        <f t="shared" si="2"/>
        <v>139590.01961120503</v>
      </c>
      <c r="K39" s="135">
        <f t="shared" si="3"/>
        <v>138491.3273702795</v>
      </c>
    </row>
    <row r="40" spans="1:11" x14ac:dyDescent="0.25">
      <c r="A40" s="9">
        <v>2008</v>
      </c>
      <c r="B40" s="9">
        <v>12</v>
      </c>
      <c r="C40" s="136">
        <v>2.63E-2</v>
      </c>
      <c r="D40" s="136">
        <f t="shared" si="1"/>
        <v>2.6025E-2</v>
      </c>
      <c r="E40" s="141">
        <v>139795</v>
      </c>
      <c r="F40" s="136">
        <v>1.3899999999999999E-2</v>
      </c>
      <c r="G40" s="136">
        <v>8.8000000000000005E-3</v>
      </c>
      <c r="H40" s="136">
        <v>4.07E-2</v>
      </c>
      <c r="I40" s="1">
        <f>(0.25*F40-F40*'TAX reduces gains by'!$Y$5)  +  (0.25*G40-G40*'TAX reduces gains by'!$Y$4)  +  (0.5*H40-H40*'TAX reduces gains by'!$Y$3)</f>
        <v>1.1214347687423413E-2</v>
      </c>
      <c r="J40" s="135">
        <f t="shared" si="2"/>
        <v>135158.3273702795</v>
      </c>
      <c r="K40" s="135">
        <f t="shared" si="3"/>
        <v>136674.03984626042</v>
      </c>
    </row>
    <row r="41" spans="1:11" x14ac:dyDescent="0.25">
      <c r="A41" s="9">
        <v>2009</v>
      </c>
      <c r="B41" s="9">
        <v>1</v>
      </c>
      <c r="C41" s="165">
        <v>-2.87E-2</v>
      </c>
      <c r="D41" s="136">
        <f t="shared" si="1"/>
        <v>-2.8674999999999999E-2</v>
      </c>
      <c r="E41" s="141">
        <v>132455</v>
      </c>
      <c r="F41" s="165">
        <v>3.73E-2</v>
      </c>
      <c r="G41" s="165">
        <v>-5.96E-2</v>
      </c>
      <c r="H41" s="165">
        <v>-4.6199999999999998E-2</v>
      </c>
      <c r="I41" s="108">
        <f>(0.25*F41-F41*'TAX reduces gains by'!$Y$5)  +  (0.25*G41-G41*'TAX reduces gains by'!$Y$4)  +  (0.5*H41-H41*'TAX reduces gains by'!$Y$3)</f>
        <v>-3.1436345542028453E-3</v>
      </c>
      <c r="J41" s="135">
        <f t="shared" si="2"/>
        <v>133341.03984626042</v>
      </c>
      <c r="K41" s="135">
        <f t="shared" si="3"/>
        <v>132921.86434590639</v>
      </c>
    </row>
    <row r="42" spans="1:11" x14ac:dyDescent="0.25">
      <c r="A42" s="9">
        <v>2009</v>
      </c>
      <c r="B42" s="9">
        <v>2</v>
      </c>
      <c r="C42" s="165">
        <v>-4.7899999999999998E-2</v>
      </c>
      <c r="D42" s="136">
        <f t="shared" si="1"/>
        <v>-4.8975000000000005E-2</v>
      </c>
      <c r="E42" s="141">
        <v>122783</v>
      </c>
      <c r="F42" s="165">
        <v>-4.5999999999999999E-3</v>
      </c>
      <c r="G42" s="165">
        <v>-9.2100000000000001E-2</v>
      </c>
      <c r="H42" s="165">
        <v>-4.9599999999999998E-2</v>
      </c>
      <c r="I42" s="108">
        <f>(0.25*F42-F42*'TAX reduces gains by'!$Y$5)  +  (0.25*G42-G42*'TAX reduces gains by'!$Y$4)  +  (0.5*H42-H42*'TAX reduces gains by'!$Y$3)</f>
        <v>-1.2813310839691582E-2</v>
      </c>
      <c r="J42" s="135">
        <f t="shared" si="2"/>
        <v>129588.86434590639</v>
      </c>
      <c r="K42" s="135">
        <f t="shared" si="3"/>
        <v>127928.40194567967</v>
      </c>
    </row>
    <row r="43" spans="1:11" x14ac:dyDescent="0.25">
      <c r="A43" s="9">
        <v>2009</v>
      </c>
      <c r="B43" s="9">
        <v>3</v>
      </c>
      <c r="C43" s="136">
        <v>3.09E-2</v>
      </c>
      <c r="D43" s="136">
        <f t="shared" si="1"/>
        <v>3.27E-2</v>
      </c>
      <c r="E43" s="141">
        <v>123245</v>
      </c>
      <c r="F43" s="165">
        <v>-2E-3</v>
      </c>
      <c r="G43" s="136">
        <v>7.3999999999999996E-2</v>
      </c>
      <c r="H43" s="136">
        <v>2.9399999999999999E-2</v>
      </c>
      <c r="I43" s="1">
        <f>(0.25*F43)  +  (0.25*G43-G43*'TAX reduces gains by'!$Y$4)  +  (0.5*H43-H43*'TAX reduces gains by'!$Y$3)</f>
        <v>6.9345382527117444E-3</v>
      </c>
      <c r="J43" s="135">
        <f t="shared" si="2"/>
        <v>124595.40194567967</v>
      </c>
      <c r="K43" s="135">
        <f t="shared" si="3"/>
        <v>125459.41352658397</v>
      </c>
    </row>
    <row r="44" spans="1:11" x14ac:dyDescent="0.25">
      <c r="A44" s="9">
        <v>2009</v>
      </c>
      <c r="B44" s="9">
        <v>4</v>
      </c>
      <c r="C44" s="136">
        <v>3.61E-2</v>
      </c>
      <c r="D44" s="136">
        <f t="shared" si="1"/>
        <v>3.6699999999999997E-2</v>
      </c>
      <c r="E44" s="141">
        <v>124366</v>
      </c>
      <c r="F44" s="136">
        <v>1.7899999999999999E-2</v>
      </c>
      <c r="G44" s="136">
        <v>5.8099999999999999E-2</v>
      </c>
      <c r="H44" s="136">
        <v>3.5400000000000001E-2</v>
      </c>
      <c r="I44" s="1">
        <f>(0.25*F44-F44*'TAX reduces gains by'!$Y$5)  +  (0.25*G44-G44*'TAX reduces gains by'!$Y$4)  +  (0.5*H44-H44*'TAX reduces gains by'!$Y$3)</f>
        <v>1.1903584152658245E-2</v>
      </c>
      <c r="J44" s="135">
        <f t="shared" si="2"/>
        <v>122126.41352658397</v>
      </c>
      <c r="K44" s="135">
        <f t="shared" si="3"/>
        <v>123580.15556726001</v>
      </c>
    </row>
    <row r="45" spans="1:11" x14ac:dyDescent="0.25">
      <c r="A45" s="9">
        <v>2009</v>
      </c>
      <c r="B45" s="9">
        <v>5</v>
      </c>
      <c r="C45" s="136">
        <v>3.6999999999999998E-2</v>
      </c>
      <c r="D45" s="136">
        <f t="shared" si="1"/>
        <v>3.7600000000000001E-2</v>
      </c>
      <c r="E45" s="141">
        <v>125636</v>
      </c>
      <c r="F45" s="136">
        <v>8.6E-3</v>
      </c>
      <c r="G45" s="136">
        <v>5.3999999999999999E-2</v>
      </c>
      <c r="H45" s="136">
        <v>4.3900000000000002E-2</v>
      </c>
      <c r="I45" s="1">
        <f>(0.25*F45-F45*'TAX reduces gains by'!$Y$5)  +  (0.25*G45-G45*'TAX reduces gains by'!$Y$4)  +  (0.5*H45-H45*'TAX reduces gains by'!$Y$3)</f>
        <v>1.1700234964838243E-2</v>
      </c>
      <c r="J45" s="135">
        <f t="shared" si="2"/>
        <v>120247.15556726001</v>
      </c>
      <c r="K45" s="135">
        <f t="shared" si="3"/>
        <v>121654.07554125041</v>
      </c>
    </row>
    <row r="46" spans="1:11" x14ac:dyDescent="0.25">
      <c r="A46" s="9">
        <v>2009</v>
      </c>
      <c r="B46" s="9">
        <v>6</v>
      </c>
      <c r="C46" s="136">
        <v>1.5E-3</v>
      </c>
      <c r="D46" s="136">
        <f t="shared" si="1"/>
        <v>1.6500000000000004E-3</v>
      </c>
      <c r="E46" s="141">
        <v>122491</v>
      </c>
      <c r="F46" s="165">
        <v>-9.7000000000000003E-3</v>
      </c>
      <c r="G46" s="165">
        <v>-8.6999999999999994E-3</v>
      </c>
      <c r="H46" s="136">
        <v>1.2500000000000001E-2</v>
      </c>
      <c r="I46" s="108">
        <f>(0.25*F46)  +  (0.25*G46)  +  (0.5*H46-H46*'TAX reduces gains by'!$Y$3)</f>
        <v>-2.0585843373493976E-3</v>
      </c>
      <c r="J46" s="135">
        <f t="shared" si="2"/>
        <v>118321.07554125041</v>
      </c>
      <c r="K46" s="135">
        <f t="shared" si="3"/>
        <v>118077.50162836285</v>
      </c>
    </row>
    <row r="47" spans="1:11" x14ac:dyDescent="0.25">
      <c r="A47" s="9">
        <v>2009</v>
      </c>
      <c r="B47" s="9">
        <v>7</v>
      </c>
      <c r="C47" s="136">
        <v>4.53E-2</v>
      </c>
      <c r="D47" s="136">
        <f t="shared" si="1"/>
        <v>4.5499999999999999E-2</v>
      </c>
      <c r="E47" s="141">
        <v>124706</v>
      </c>
      <c r="F47" s="136">
        <v>1.7899999999999999E-2</v>
      </c>
      <c r="G47" s="136">
        <v>5.0500000000000003E-2</v>
      </c>
      <c r="H47" s="136">
        <v>5.6800000000000003E-2</v>
      </c>
      <c r="I47" s="1">
        <f>(0.25*F47-F47*'TAX reduces gains by'!$Y$5)  +  (0.25*G47-G47*'TAX reduces gains by'!$Y$4)  +  (0.5*H47-H47*'TAX reduces gains by'!$Y$3)</f>
        <v>1.6104836720256657E-2</v>
      </c>
      <c r="J47" s="135">
        <f t="shared" si="2"/>
        <v>114744.50162836285</v>
      </c>
      <c r="K47" s="135">
        <f t="shared" si="3"/>
        <v>116592.44309163486</v>
      </c>
    </row>
    <row r="48" spans="1:11" x14ac:dyDescent="0.25">
      <c r="A48" s="9">
        <v>2009</v>
      </c>
      <c r="B48" s="9">
        <v>8</v>
      </c>
      <c r="C48" s="136">
        <v>2.1999999999999999E-2</v>
      </c>
      <c r="D48" s="136">
        <f t="shared" si="1"/>
        <v>2.1975000000000001E-2</v>
      </c>
      <c r="E48" s="141">
        <v>124118</v>
      </c>
      <c r="F48" s="136">
        <v>1.23E-2</v>
      </c>
      <c r="G48" s="136">
        <v>2.92E-2</v>
      </c>
      <c r="H48" s="136">
        <v>2.3199999999999998E-2</v>
      </c>
      <c r="I48" s="1">
        <f>(0.25*F48-F48*'TAX reduces gains by'!$Y$5)  +  (0.25*G48-G48*'TAX reduces gains by'!$Y$4)  +  (0.5*H48-H48*'TAX reduces gains by'!$Y$3)</f>
        <v>7.7396470772330963E-3</v>
      </c>
      <c r="J48" s="135">
        <f t="shared" si="2"/>
        <v>113259.44309163486</v>
      </c>
      <c r="K48" s="135">
        <f t="shared" si="3"/>
        <v>114136.03120932808</v>
      </c>
    </row>
    <row r="49" spans="1:11" x14ac:dyDescent="0.25">
      <c r="A49" s="9">
        <v>2009</v>
      </c>
      <c r="B49" s="9">
        <v>9</v>
      </c>
      <c r="C49" s="136">
        <v>2.53E-2</v>
      </c>
      <c r="D49" s="136">
        <f t="shared" si="1"/>
        <v>2.5400000000000002E-2</v>
      </c>
      <c r="E49" s="141">
        <v>123931</v>
      </c>
      <c r="F49" s="136">
        <v>0.03</v>
      </c>
      <c r="G49" s="136">
        <v>3.4200000000000001E-2</v>
      </c>
      <c r="H49" s="136">
        <v>1.8700000000000001E-2</v>
      </c>
      <c r="I49" s="1">
        <f>(0.25*F49-F49*'TAX reduces gains by'!$Y$5)  +  (0.25*G49-G49*'TAX reduces gains by'!$Y$4)  +  (0.5*H49-H49*'TAX reduces gains by'!$Y$3)</f>
        <v>1.0445642499699787E-2</v>
      </c>
      <c r="J49" s="135">
        <f t="shared" si="2"/>
        <v>110803.03120932808</v>
      </c>
      <c r="K49" s="135">
        <f t="shared" si="3"/>
        <v>111960.4400612238</v>
      </c>
    </row>
    <row r="50" spans="1:11" x14ac:dyDescent="0.25">
      <c r="A50" s="9">
        <v>2009</v>
      </c>
      <c r="B50" s="9">
        <v>10</v>
      </c>
      <c r="C50" s="165">
        <v>-5.7999999999999996E-3</v>
      </c>
      <c r="D50" s="136">
        <f t="shared" si="1"/>
        <v>-5.875E-3</v>
      </c>
      <c r="E50" s="141">
        <v>119876</v>
      </c>
      <c r="F50" s="165">
        <v>-2.1700000000000001E-2</v>
      </c>
      <c r="G50" s="165">
        <v>-8.0000000000000004E-4</v>
      </c>
      <c r="H50" s="165">
        <v>-5.0000000000000001E-4</v>
      </c>
      <c r="I50" s="108">
        <f>(0.25*F50)  +  (0.25*G50)  +  (0.5*H50)</f>
        <v>-5.875E-3</v>
      </c>
      <c r="J50" s="135">
        <f t="shared" si="2"/>
        <v>108627.4400612238</v>
      </c>
      <c r="K50" s="135">
        <f t="shared" si="3"/>
        <v>107989.2538508641</v>
      </c>
    </row>
    <row r="51" spans="1:11" x14ac:dyDescent="0.25">
      <c r="A51" s="9">
        <v>2009</v>
      </c>
      <c r="B51" s="9">
        <v>11</v>
      </c>
      <c r="C51" s="136">
        <v>3.56E-2</v>
      </c>
      <c r="D51" s="136">
        <f t="shared" si="1"/>
        <v>3.5375000000000004E-2</v>
      </c>
      <c r="E51" s="141">
        <v>120815</v>
      </c>
      <c r="F51" s="136">
        <v>1.1299999999999999E-2</v>
      </c>
      <c r="G51" s="136">
        <v>6.6199999999999995E-2</v>
      </c>
      <c r="H51" s="136">
        <v>3.2000000000000001E-2</v>
      </c>
      <c r="I51" s="1">
        <f>(0.25*F51-F51*'TAX reduces gains by'!$Y$5)  +  (0.25*G51-G51*'TAX reduces gains by'!$Y$4)  +  (0.5*H51-H51*'TAX reduces gains by'!$Y$3)</f>
        <v>1.0058359512234317E-2</v>
      </c>
      <c r="J51" s="135">
        <f t="shared" si="2"/>
        <v>104656.2538508641</v>
      </c>
      <c r="K51" s="135">
        <f t="shared" si="3"/>
        <v>105708.92407729974</v>
      </c>
    </row>
    <row r="52" spans="1:11" x14ac:dyDescent="0.25">
      <c r="A52" s="9">
        <v>2009</v>
      </c>
      <c r="B52" s="9">
        <v>12</v>
      </c>
      <c r="C52" s="136">
        <v>2.5000000000000001E-3</v>
      </c>
      <c r="D52" s="136">
        <f t="shared" si="1"/>
        <v>2.4250000000000001E-3</v>
      </c>
      <c r="E52" s="141">
        <v>117784</v>
      </c>
      <c r="F52" s="136">
        <v>1.6999999999999999E-3</v>
      </c>
      <c r="G52" s="136">
        <v>8.2000000000000007E-3</v>
      </c>
      <c r="H52" s="165">
        <v>-1E-4</v>
      </c>
      <c r="I52" s="1">
        <f>(0.25*F52-F52*'TAX reduces gains by'!$Y$5)  +  (0.25*G52-G52*'TAX reduces gains by'!$Y$4)  +  (0.5*H52)</f>
        <v>4.4978005078249712E-4</v>
      </c>
      <c r="J52" s="135">
        <f t="shared" si="2"/>
        <v>102375.92407729974</v>
      </c>
      <c r="K52" s="135">
        <f t="shared" si="3"/>
        <v>102421.97072563013</v>
      </c>
    </row>
    <row r="53" spans="1:11" x14ac:dyDescent="0.25">
      <c r="A53" s="9">
        <v>2010</v>
      </c>
      <c r="B53" s="9">
        <v>1</v>
      </c>
      <c r="C53" s="165">
        <v>-6.7999999999999996E-3</v>
      </c>
      <c r="D53" s="136">
        <f t="shared" si="1"/>
        <v>-6.7499999999999991E-3</v>
      </c>
      <c r="E53" s="141">
        <v>113655</v>
      </c>
      <c r="F53" s="136">
        <v>5.4000000000000003E-3</v>
      </c>
      <c r="G53" s="165">
        <v>-2.6599999999999999E-2</v>
      </c>
      <c r="H53" s="136">
        <v>-2.8999999999999998E-3</v>
      </c>
      <c r="I53" s="108">
        <f>(0.25*F53-F53*'TAX reduces gains by'!$Y$5)  +  (0.25*G53)  +  (0.5*H53-H53*'TAX reduces gains by'!$Y$3)</f>
        <v>-6.164962541383664E-3</v>
      </c>
      <c r="J53" s="135">
        <f t="shared" si="2"/>
        <v>99088.970725630134</v>
      </c>
      <c r="K53" s="135">
        <f t="shared" si="3"/>
        <v>98478.090932842359</v>
      </c>
    </row>
    <row r="54" spans="1:11" x14ac:dyDescent="0.25">
      <c r="A54" s="9">
        <v>2010</v>
      </c>
      <c r="B54" s="9">
        <v>2</v>
      </c>
      <c r="C54" s="136">
        <v>1.17E-2</v>
      </c>
      <c r="D54" s="136">
        <f t="shared" si="1"/>
        <v>1.1675E-2</v>
      </c>
      <c r="E54" s="141">
        <v>111647</v>
      </c>
      <c r="F54" s="136">
        <v>9.4999999999999998E-3</v>
      </c>
      <c r="G54" s="136">
        <v>1.5599999999999999E-2</v>
      </c>
      <c r="H54" s="136">
        <v>1.0800000000000001E-2</v>
      </c>
      <c r="I54" s="1">
        <f>(0.25*F54-F54*'TAX reduces gains by'!$Y$5)  +  (0.25*G54-G54*'TAX reduces gains by'!$Y$4)  +  (0.5*H54-H54*'TAX reduces gains by'!$Y$3)</f>
        <v>4.3935423336802122E-3</v>
      </c>
      <c r="J54" s="135">
        <f t="shared" si="2"/>
        <v>95145.090932842359</v>
      </c>
      <c r="K54" s="135">
        <f t="shared" si="3"/>
        <v>95563.114917697661</v>
      </c>
    </row>
    <row r="55" spans="1:11" x14ac:dyDescent="0.25">
      <c r="A55" s="9">
        <v>2010</v>
      </c>
      <c r="B55" s="9">
        <v>3</v>
      </c>
      <c r="C55" s="136">
        <v>1.89E-2</v>
      </c>
      <c r="D55" s="136">
        <f t="shared" si="1"/>
        <v>1.9099999999999999E-2</v>
      </c>
      <c r="E55" s="141">
        <v>110427</v>
      </c>
      <c r="F55" s="165">
        <v>-7.1999999999999998E-3</v>
      </c>
      <c r="G55" s="136">
        <v>4.3799999999999999E-2</v>
      </c>
      <c r="H55" s="136">
        <v>1.9900000000000001E-2</v>
      </c>
      <c r="I55" s="1">
        <f>(0.25*F55)  +  (0.25*G55-G55*'TAX reduces gains by'!$Y$4)  +  (0.5*H55-H55*'TAX reduces gains by'!$Y$3)</f>
        <v>3.1083963471032696E-3</v>
      </c>
      <c r="J55" s="135">
        <f t="shared" si="2"/>
        <v>92230.114917697661</v>
      </c>
      <c r="K55" s="135">
        <f t="shared" si="3"/>
        <v>92516.802670000747</v>
      </c>
    </row>
    <row r="56" spans="1:11" x14ac:dyDescent="0.25">
      <c r="A56" s="9">
        <v>2010</v>
      </c>
      <c r="B56" s="9">
        <v>4</v>
      </c>
      <c r="C56" s="136">
        <v>1.4200000000000001E-2</v>
      </c>
      <c r="D56" s="136">
        <f t="shared" si="1"/>
        <v>1.4125E-2</v>
      </c>
      <c r="E56" s="141">
        <v>108658</v>
      </c>
      <c r="F56" s="136">
        <v>1.0500000000000001E-2</v>
      </c>
      <c r="G56" s="136">
        <v>1.6199999999999999E-2</v>
      </c>
      <c r="H56" s="136">
        <v>1.49E-2</v>
      </c>
      <c r="I56" s="1">
        <f>(0.25*F56-F56*'TAX reduces gains by'!$Y$5)  +  (0.25*G56-G56*'TAX reduces gains by'!$Y$4)  +  (0.5*H56-H56*'TAX reduces gains by'!$Y$3)</f>
        <v>5.4379497259441877E-3</v>
      </c>
      <c r="J56" s="135">
        <f t="shared" si="2"/>
        <v>89183.802670000747</v>
      </c>
      <c r="K56" s="135">
        <f t="shared" si="3"/>
        <v>89668.779705288733</v>
      </c>
    </row>
    <row r="57" spans="1:11" x14ac:dyDescent="0.25">
      <c r="A57" s="9">
        <v>2010</v>
      </c>
      <c r="B57" s="9">
        <v>5</v>
      </c>
      <c r="C57" s="165">
        <v>-3.09E-2</v>
      </c>
      <c r="D57" s="136">
        <f t="shared" si="1"/>
        <v>-3.065E-2</v>
      </c>
      <c r="E57" s="141">
        <v>101963</v>
      </c>
      <c r="F57" s="136">
        <v>7.6E-3</v>
      </c>
      <c r="G57" s="165">
        <v>-7.5999999999999998E-2</v>
      </c>
      <c r="H57" s="165">
        <v>-2.7099999999999999E-2</v>
      </c>
      <c r="I57" s="108">
        <f>(0.25*F57-F57*'TAX reduces gains by'!$Y$5)  +  (0.25*G57)  +  (0.5*H57)</f>
        <v>-3.1037535410764872E-2</v>
      </c>
      <c r="J57" s="135">
        <f t="shared" si="2"/>
        <v>86335.779705288733</v>
      </c>
      <c r="K57" s="135">
        <f t="shared" si="3"/>
        <v>83656.12988546984</v>
      </c>
    </row>
    <row r="58" spans="1:11" x14ac:dyDescent="0.25">
      <c r="A58" s="9">
        <v>2010</v>
      </c>
      <c r="B58" s="9">
        <v>6</v>
      </c>
      <c r="C58" s="165">
        <v>-8.5000000000000006E-3</v>
      </c>
      <c r="D58" s="136">
        <f t="shared" si="1"/>
        <v>-8.8749999999999992E-3</v>
      </c>
      <c r="E58" s="141">
        <v>97763</v>
      </c>
      <c r="F58" s="136">
        <v>1E-4</v>
      </c>
      <c r="G58" s="165">
        <v>-3.9399999999999998E-2</v>
      </c>
      <c r="H58" s="136">
        <v>1.9E-3</v>
      </c>
      <c r="I58" s="108">
        <f>(0.25*F58-F58*'TAX reduces gains by'!$Y$5)  +  (0.25*G58)  +  (0.5*H58-H58*'TAX reduces gains by'!$Y$3)</f>
        <v>-9.4438039694187507E-3</v>
      </c>
      <c r="J58" s="135">
        <f t="shared" si="2"/>
        <v>80323.12988546984</v>
      </c>
      <c r="K58" s="135">
        <f t="shared" si="3"/>
        <v>79564.573992621299</v>
      </c>
    </row>
    <row r="59" spans="1:11" x14ac:dyDescent="0.25">
      <c r="A59" s="9">
        <v>2010</v>
      </c>
      <c r="B59" s="9">
        <v>7</v>
      </c>
      <c r="C59" s="136">
        <v>3.5499999999999997E-2</v>
      </c>
      <c r="D59" s="136">
        <f t="shared" si="1"/>
        <v>3.6049999999999999E-2</v>
      </c>
      <c r="E59" s="141">
        <v>97897</v>
      </c>
      <c r="F59" s="136">
        <v>1.34E-2</v>
      </c>
      <c r="G59" s="136">
        <v>6.0999999999999999E-2</v>
      </c>
      <c r="H59" s="136">
        <v>3.49E-2</v>
      </c>
      <c r="I59" s="1">
        <f>(0.25*F59-F59*'TAX reduces gains by'!$Y$5)  +  (0.25*G59-G59*'TAX reduces gains by'!$Y$4)  +  (0.5*H59-H59*'TAX reduces gains by'!$Y$3)</f>
        <v>1.0963492971459357E-2</v>
      </c>
      <c r="J59" s="135">
        <f t="shared" si="2"/>
        <v>76231.573992621299</v>
      </c>
      <c r="K59" s="135">
        <f t="shared" si="3"/>
        <v>77067.338318292692</v>
      </c>
    </row>
    <row r="60" spans="1:11" x14ac:dyDescent="0.25">
      <c r="A60" s="9">
        <v>2010</v>
      </c>
      <c r="B60" s="9">
        <v>8</v>
      </c>
      <c r="C60" s="136">
        <v>2.5000000000000001E-3</v>
      </c>
      <c r="D60" s="136">
        <f t="shared" si="1"/>
        <v>2.0000000000000009E-3</v>
      </c>
      <c r="E60" s="141">
        <v>94804</v>
      </c>
      <c r="F60" s="136">
        <v>2.3400000000000001E-2</v>
      </c>
      <c r="G60" s="165">
        <v>-3.2599999999999997E-2</v>
      </c>
      <c r="H60" s="136">
        <v>8.6E-3</v>
      </c>
      <c r="I60" s="108">
        <f>(0.25*F60-F60*'TAX reduces gains by'!$Y$5)  +  (0.25*G60)  +  (0.5*H60-H60*'TAX reduces gains by'!$Y$3)</f>
        <v>-1.7447071572408582E-3</v>
      </c>
      <c r="J60" s="135">
        <f t="shared" si="2"/>
        <v>73734.338318292692</v>
      </c>
      <c r="K60" s="135">
        <f t="shared" si="3"/>
        <v>73605.693490494348</v>
      </c>
    </row>
    <row r="61" spans="1:11" x14ac:dyDescent="0.25">
      <c r="A61" s="9">
        <v>2010</v>
      </c>
      <c r="B61" s="9">
        <v>9</v>
      </c>
      <c r="C61" s="136">
        <v>3.1099999999999999E-2</v>
      </c>
      <c r="D61" s="136">
        <f t="shared" si="1"/>
        <v>3.2300000000000002E-2</v>
      </c>
      <c r="E61" s="141">
        <v>94419</v>
      </c>
      <c r="F61" s="165">
        <v>-4.3E-3</v>
      </c>
      <c r="G61" s="136">
        <v>7.9500000000000001E-2</v>
      </c>
      <c r="H61" s="136">
        <v>2.7E-2</v>
      </c>
      <c r="I61" s="1">
        <f>(0.25*F61)  +  (0.25*G61-G61*'TAX reduces gains by'!$Y$4)  +  (0.5*H61-H61*'TAX reduces gains by'!$Y$3)</f>
        <v>5.9798865451837283E-3</v>
      </c>
      <c r="J61" s="135">
        <f t="shared" si="2"/>
        <v>70272.693490494348</v>
      </c>
      <c r="K61" s="135">
        <f t="shared" si="3"/>
        <v>70692.916224791974</v>
      </c>
    </row>
    <row r="62" spans="1:11" x14ac:dyDescent="0.25">
      <c r="A62" s="9">
        <v>2010</v>
      </c>
      <c r="B62" s="9">
        <v>10</v>
      </c>
      <c r="C62" s="136">
        <v>1.03E-2</v>
      </c>
      <c r="D62" s="136">
        <f t="shared" si="1"/>
        <v>1.04E-2</v>
      </c>
      <c r="E62" s="141">
        <v>92055</v>
      </c>
      <c r="F62" s="165">
        <v>-3.5000000000000001E-3</v>
      </c>
      <c r="G62" s="136">
        <v>2.75E-2</v>
      </c>
      <c r="H62" s="136">
        <v>8.8000000000000005E-3</v>
      </c>
      <c r="I62" s="1">
        <f>(0.25*F62)  +  (0.25*G62-G62*'TAX reduces gains by'!$Y$4)  +  (0.5*H62-H62*'TAX reduces gains by'!$Y$3)</f>
        <v>1.4556571250105119E-3</v>
      </c>
      <c r="J62" s="135">
        <f t="shared" si="2"/>
        <v>67359.916224791974</v>
      </c>
      <c r="K62" s="135">
        <f t="shared" si="3"/>
        <v>67457.969166784707</v>
      </c>
    </row>
    <row r="63" spans="1:11" x14ac:dyDescent="0.25">
      <c r="A63" s="9">
        <v>2010</v>
      </c>
      <c r="B63" s="9">
        <v>11</v>
      </c>
      <c r="C63" s="165">
        <v>-1.0200000000000001E-2</v>
      </c>
      <c r="D63" s="136">
        <f t="shared" si="1"/>
        <v>-1.0225E-2</v>
      </c>
      <c r="E63" s="141">
        <v>87784</v>
      </c>
      <c r="F63" s="165">
        <v>-1.7399999999999999E-2</v>
      </c>
      <c r="G63" s="165">
        <v>-5.1000000000000004E-3</v>
      </c>
      <c r="H63" s="165">
        <v>-9.1999999999999998E-3</v>
      </c>
      <c r="I63" s="108">
        <f>(0.25*F63)  +  (0.25*G63)  +  (0.5*H63)</f>
        <v>-1.0225E-2</v>
      </c>
      <c r="J63" s="135">
        <f t="shared" si="2"/>
        <v>64124.969166784707</v>
      </c>
      <c r="K63" s="135">
        <f t="shared" si="3"/>
        <v>63469.291357054331</v>
      </c>
    </row>
    <row r="64" spans="1:11" x14ac:dyDescent="0.25">
      <c r="A64" s="9">
        <v>2010</v>
      </c>
      <c r="B64" s="9">
        <v>12</v>
      </c>
      <c r="C64" s="136">
        <v>1.8200000000000001E-2</v>
      </c>
      <c r="D64" s="136">
        <f t="shared" si="1"/>
        <v>1.8075000000000001E-2</v>
      </c>
      <c r="E64" s="141">
        <v>86045</v>
      </c>
      <c r="F64" s="165">
        <v>-1.54E-2</v>
      </c>
      <c r="G64" s="136">
        <v>5.6899999999999999E-2</v>
      </c>
      <c r="H64" s="136">
        <v>1.54E-2</v>
      </c>
      <c r="I64" s="1">
        <f>(0.25*F64)  +  (0.25*G64-G64*'TAX reduces gains by'!$Y$4)  +  (0.5*H64-H64*'TAX reduces gains by'!$Y$3)</f>
        <v>4.0143785510937235E-4</v>
      </c>
      <c r="J64" s="135">
        <f t="shared" si="2"/>
        <v>60136.291357054331</v>
      </c>
      <c r="K64" s="135">
        <f t="shared" si="3"/>
        <v>60160.432340870939</v>
      </c>
    </row>
    <row r="65" spans="1:11" x14ac:dyDescent="0.25">
      <c r="A65" s="9">
        <v>2011</v>
      </c>
      <c r="B65" s="9">
        <v>1</v>
      </c>
      <c r="C65" s="136">
        <v>6.7999999999999996E-3</v>
      </c>
      <c r="D65" s="136">
        <f t="shared" si="1"/>
        <v>6.8249999999999995E-3</v>
      </c>
      <c r="E65" s="141">
        <v>83298</v>
      </c>
      <c r="F65" s="165">
        <v>-6.6E-3</v>
      </c>
      <c r="G65" s="136">
        <v>2.0899999999999998E-2</v>
      </c>
      <c r="H65" s="136">
        <v>6.4999999999999997E-3</v>
      </c>
      <c r="I65" s="1">
        <f>(0.25*F65)  +  (0.25*G65-G65*'TAX reduces gains by'!$Y$4)  +  (0.5*H65-H65*'TAX reduces gains by'!$Y$3)</f>
        <v>8.3076523441723412E-5</v>
      </c>
      <c r="J65" s="135">
        <f t="shared" si="2"/>
        <v>56827.432340870939</v>
      </c>
      <c r="K65" s="135">
        <f t="shared" si="3"/>
        <v>56832.153366385937</v>
      </c>
    </row>
    <row r="66" spans="1:11" x14ac:dyDescent="0.25">
      <c r="A66" s="9">
        <v>2011</v>
      </c>
      <c r="B66" s="9">
        <v>2</v>
      </c>
      <c r="C66" s="136">
        <v>1.9E-2</v>
      </c>
      <c r="D66" s="136">
        <f t="shared" si="1"/>
        <v>1.8974999999999999E-2</v>
      </c>
      <c r="E66" s="141">
        <v>81546</v>
      </c>
      <c r="F66" s="136">
        <v>1.5100000000000001E-2</v>
      </c>
      <c r="G66" s="136">
        <v>2.3199999999999998E-2</v>
      </c>
      <c r="H66" s="136">
        <v>1.8800000000000001E-2</v>
      </c>
      <c r="I66" s="1">
        <f>(0.25*F66-F66*'TAX reduces gains by'!$Y$5)  +  (0.25*G66-G66*'TAX reduces gains by'!$Y$4)  +  (0.5*H66-H66*'TAX reduces gains by'!$Y$3)</f>
        <v>7.2841469967040093E-3</v>
      </c>
      <c r="J66" s="135">
        <f t="shared" si="2"/>
        <v>53499.153366385937</v>
      </c>
      <c r="K66" s="135">
        <f t="shared" si="3"/>
        <v>53888.849063705908</v>
      </c>
    </row>
    <row r="67" spans="1:11" x14ac:dyDescent="0.25">
      <c r="A67" s="9">
        <v>2011</v>
      </c>
      <c r="B67" s="9">
        <v>3</v>
      </c>
      <c r="C67" s="136">
        <v>1E-3</v>
      </c>
      <c r="D67" s="136">
        <f t="shared" si="1"/>
        <v>1E-3</v>
      </c>
      <c r="E67" s="141">
        <v>78298</v>
      </c>
      <c r="F67" s="165">
        <v>-2.8E-3</v>
      </c>
      <c r="G67" s="136">
        <v>4.0000000000000001E-3</v>
      </c>
      <c r="H67" s="136">
        <v>1.4E-3</v>
      </c>
      <c r="I67" s="108">
        <f>(0.25*F67)  +  (0.25*G67-G67*'TAX reduces gains by'!$Y$4)  +  (0.5*H67-H67*'TAX reduces gains by'!$Y$3)</f>
        <v>-3.3659773690975251E-4</v>
      </c>
      <c r="J67" s="135">
        <f t="shared" si="2"/>
        <v>50555.849063705908</v>
      </c>
      <c r="K67" s="135">
        <f t="shared" si="3"/>
        <v>50538.832079323511</v>
      </c>
    </row>
    <row r="68" spans="1:11" x14ac:dyDescent="0.25">
      <c r="A68" s="9">
        <v>2011</v>
      </c>
      <c r="B68" s="9">
        <v>4</v>
      </c>
      <c r="C68" s="136">
        <v>2.6100000000000002E-2</v>
      </c>
      <c r="D68" s="136">
        <f t="shared" si="1"/>
        <v>2.6025E-2</v>
      </c>
      <c r="E68" s="141">
        <v>77011</v>
      </c>
      <c r="F68" s="136">
        <v>1.6E-2</v>
      </c>
      <c r="G68" s="136">
        <v>3.6499999999999998E-2</v>
      </c>
      <c r="H68" s="136">
        <v>2.58E-2</v>
      </c>
      <c r="I68" s="1">
        <f>(0.25*F68-F68*'TAX reduces gains by'!$Y$5)  +  (0.25*G68-G68*'TAX reduces gains by'!$Y$4)  +  (0.5*H68-H68*'TAX reduces gains by'!$Y$3)</f>
        <v>9.1483367485175483E-3</v>
      </c>
      <c r="J68" s="135">
        <f t="shared" si="2"/>
        <v>47205.832079323511</v>
      </c>
      <c r="K68" s="135">
        <f t="shared" si="3"/>
        <v>47637.686927679133</v>
      </c>
    </row>
    <row r="69" spans="1:11" x14ac:dyDescent="0.25">
      <c r="A69" s="9">
        <v>2011</v>
      </c>
      <c r="B69" s="9">
        <v>5</v>
      </c>
      <c r="C69" s="136">
        <v>8.3000000000000001E-3</v>
      </c>
      <c r="D69" s="136">
        <f t="shared" si="1"/>
        <v>8.4499999999999992E-3</v>
      </c>
      <c r="E69" s="141">
        <v>74321</v>
      </c>
      <c r="F69" s="136">
        <v>1.5100000000000001E-2</v>
      </c>
      <c r="G69" s="136">
        <v>1.9E-3</v>
      </c>
      <c r="H69" s="136">
        <v>8.3999999999999995E-3</v>
      </c>
      <c r="I69" s="1">
        <f>(0.25*F69-F69*'TAX reduces gains by'!$Y$5)  +  (0.25*G69-G69*'TAX reduces gains by'!$Y$4)  +  (0.5*H69-H69*'TAX reduces gains by'!$Y$3)</f>
        <v>4.750272415627959E-3</v>
      </c>
      <c r="J69" s="135">
        <f t="shared" si="2"/>
        <v>44304.686927679133</v>
      </c>
      <c r="K69" s="135">
        <f t="shared" si="3"/>
        <v>44515.146259874717</v>
      </c>
    </row>
    <row r="70" spans="1:11" x14ac:dyDescent="0.25">
      <c r="A70" s="9">
        <v>2011</v>
      </c>
      <c r="B70" s="9">
        <v>6</v>
      </c>
      <c r="C70" s="165">
        <v>-6.3E-3</v>
      </c>
      <c r="D70" s="136">
        <f t="shared" si="1"/>
        <v>-6.1999999999999998E-3</v>
      </c>
      <c r="E70" s="141">
        <v>70523</v>
      </c>
      <c r="F70" s="136">
        <v>3.0000000000000001E-3</v>
      </c>
      <c r="G70" s="165">
        <v>-6.6E-3</v>
      </c>
      <c r="H70" s="165">
        <v>-1.06E-2</v>
      </c>
      <c r="I70" s="108">
        <f>(0.25*F70-F70*'TAX reduces gains by'!$Y$5)  +  (0.25*G70)  +  (0.5*H70)</f>
        <v>-6.3529745042492916E-3</v>
      </c>
      <c r="J70" s="135">
        <f t="shared" si="2"/>
        <v>41182.146259874717</v>
      </c>
      <c r="K70" s="135">
        <f t="shared" si="3"/>
        <v>40920.517134655471</v>
      </c>
    </row>
    <row r="71" spans="1:11" x14ac:dyDescent="0.25">
      <c r="A71" s="9">
        <v>2011</v>
      </c>
      <c r="B71" s="9">
        <v>7</v>
      </c>
      <c r="C71" s="165">
        <v>-5.1999999999999998E-3</v>
      </c>
      <c r="D71" s="136">
        <f t="shared" si="1"/>
        <v>-5.0000000000000001E-3</v>
      </c>
      <c r="E71" s="141">
        <v>66823</v>
      </c>
      <c r="F71" s="136">
        <v>9.7000000000000003E-3</v>
      </c>
      <c r="G71" s="165">
        <v>-3.0499999999999999E-2</v>
      </c>
      <c r="H71" s="136">
        <v>4.0000000000000002E-4</v>
      </c>
      <c r="I71" s="108">
        <f>(0.25*F71-F71*'TAX reduces gains by'!$Y$5)  +  (0.25*G71)  +  (0.5*H71-H71*'TAX reduces gains by'!$Y$3)</f>
        <v>-5.6132922625345564E-3</v>
      </c>
      <c r="J71" s="135">
        <f t="shared" si="2"/>
        <v>37587.517134655471</v>
      </c>
      <c r="K71" s="135">
        <f t="shared" si="3"/>
        <v>37376.527415555625</v>
      </c>
    </row>
    <row r="72" spans="1:11" x14ac:dyDescent="0.25">
      <c r="A72" s="9">
        <v>2011</v>
      </c>
      <c r="B72" s="9">
        <v>8</v>
      </c>
      <c r="C72" s="165">
        <v>-4.1999999999999997E-3</v>
      </c>
      <c r="D72" s="136">
        <f t="shared" si="1"/>
        <v>-4.2249999999999996E-3</v>
      </c>
      <c r="E72" s="141">
        <v>63211</v>
      </c>
      <c r="F72" s="136">
        <v>1.4E-2</v>
      </c>
      <c r="G72" s="165">
        <v>-2.5499999999999998E-2</v>
      </c>
      <c r="H72" s="165">
        <v>-2.7000000000000001E-3</v>
      </c>
      <c r="I72" s="108">
        <f>(0.25*F72-F72*'TAX reduces gains by'!$Y$5)  +  (0.25*G72)  +  (0.5*H72)</f>
        <v>-4.9388810198300265E-3</v>
      </c>
      <c r="J72" s="135">
        <f t="shared" si="2"/>
        <v>34043.527415555625</v>
      </c>
      <c r="K72" s="135">
        <f t="shared" si="3"/>
        <v>33875.390484154872</v>
      </c>
    </row>
    <row r="73" spans="1:11" x14ac:dyDescent="0.25">
      <c r="A73" s="9">
        <v>2011</v>
      </c>
      <c r="B73" s="9">
        <v>9</v>
      </c>
      <c r="C73" s="136">
        <v>-1.6299999999999999E-2</v>
      </c>
      <c r="D73" s="136">
        <f t="shared" si="1"/>
        <v>-1.6500000000000001E-2</v>
      </c>
      <c r="E73" s="141">
        <v>58850</v>
      </c>
      <c r="F73" s="136">
        <v>6.4999999999999997E-3</v>
      </c>
      <c r="G73" s="136">
        <v>-4.3299999999999998E-2</v>
      </c>
      <c r="H73" s="136">
        <v>-1.46E-2</v>
      </c>
      <c r="I73" s="108">
        <f>(0.25*F73-F73*'TAX reduces gains by'!$Y$5)  +  (0.25*G73-G73*'TAX reduces gains by'!$Y$4)  +  (0.5*H73-H73*'TAX reduces gains by'!$Y$3)</f>
        <v>-2.5274354017370405E-3</v>
      </c>
      <c r="J73" s="135">
        <f t="shared" si="2"/>
        <v>30542.390484154872</v>
      </c>
      <c r="K73" s="135">
        <f t="shared" si="3"/>
        <v>30465.196565191542</v>
      </c>
    </row>
    <row r="74" spans="1:11" x14ac:dyDescent="0.25">
      <c r="A74" s="9">
        <v>2011</v>
      </c>
      <c r="B74" s="9">
        <v>10</v>
      </c>
      <c r="C74" s="136">
        <v>3.9600000000000003E-2</v>
      </c>
      <c r="D74" s="136">
        <f t="shared" si="1"/>
        <v>4.0625000000000001E-2</v>
      </c>
      <c r="E74" s="141">
        <v>57849</v>
      </c>
      <c r="F74" s="165">
        <v>-3.5999999999999999E-3</v>
      </c>
      <c r="G74" s="136">
        <v>8.5500000000000007E-2</v>
      </c>
      <c r="H74" s="136">
        <v>4.0300000000000002E-2</v>
      </c>
      <c r="I74" s="1">
        <f>(0.25*F74)  +  (0.25*G74-G74*'TAX reduces gains by'!$Y$4)  +  (0.5*H74-H74*'TAX reduces gains by'!$Y$3)</f>
        <v>8.9770983735540377E-3</v>
      </c>
      <c r="J74" s="135">
        <f t="shared" si="2"/>
        <v>27132.196565191542</v>
      </c>
      <c r="K74" s="135">
        <f t="shared" si="3"/>
        <v>27375.764962847872</v>
      </c>
    </row>
    <row r="75" spans="1:11" x14ac:dyDescent="0.25">
      <c r="A75" s="9">
        <v>2011</v>
      </c>
      <c r="B75" s="9">
        <v>11</v>
      </c>
      <c r="C75" s="136">
        <v>2.0999999999999999E-3</v>
      </c>
      <c r="D75" s="136">
        <f t="shared" si="1"/>
        <v>2.1249999999999997E-3</v>
      </c>
      <c r="E75" s="141">
        <v>54637</v>
      </c>
      <c r="F75" s="136">
        <v>6.4999999999999997E-3</v>
      </c>
      <c r="G75" s="136">
        <v>1.26E-2</v>
      </c>
      <c r="H75" s="136">
        <v>-5.3E-3</v>
      </c>
      <c r="I75" s="1">
        <f>(0.25*F75-F75*'TAX reduces gains by'!$Y$5)  +  (0.25*G75-G75*'TAX reduces gains by'!$Y$4)  +  (0.5*H75-H75*'TAX reduces gains by'!$Y$3)</f>
        <v>4.6410068278049366E-4</v>
      </c>
      <c r="J75" s="135">
        <f t="shared" si="2"/>
        <v>24042.764962847872</v>
      </c>
      <c r="K75" s="135">
        <f t="shared" si="3"/>
        <v>24053.923226483061</v>
      </c>
    </row>
    <row r="76" spans="1:11" x14ac:dyDescent="0.25">
      <c r="A76" s="9">
        <v>2011</v>
      </c>
      <c r="B76" s="9">
        <v>12</v>
      </c>
      <c r="C76" s="136">
        <v>2.2100000000000002E-2</v>
      </c>
      <c r="D76" s="136">
        <f t="shared" si="1"/>
        <v>2.2074999999999997E-2</v>
      </c>
      <c r="E76" s="141">
        <v>52510</v>
      </c>
      <c r="F76" s="136">
        <v>1.9599999999999999E-2</v>
      </c>
      <c r="G76" s="136">
        <v>1.8100000000000002E-2</v>
      </c>
      <c r="H76" s="136">
        <v>2.53E-2</v>
      </c>
      <c r="I76" s="1">
        <f>(0.25*F76-F76*'TAX reduces gains by'!$Y$5)  +  (0.25*G76-G76*'TAX reduces gains by'!$Y$4)  +  (0.5*H76-H76*'TAX reduces gains by'!$Y$3)</f>
        <v>9.400797656094825E-3</v>
      </c>
      <c r="J76" s="135">
        <f t="shared" si="2"/>
        <v>20720.923226483061</v>
      </c>
      <c r="K76" s="135">
        <f t="shared" si="3"/>
        <v>20915.716432982703</v>
      </c>
    </row>
    <row r="77" spans="1:11" s="87" customFormat="1" x14ac:dyDescent="0.25">
      <c r="A77" s="87">
        <v>2012</v>
      </c>
      <c r="B77" s="87">
        <v>1</v>
      </c>
      <c r="C77" s="154">
        <v>2.12E-2</v>
      </c>
      <c r="D77" s="136">
        <f t="shared" si="1"/>
        <v>2.1225000000000001E-2</v>
      </c>
      <c r="E77" s="155">
        <v>50291</v>
      </c>
      <c r="F77" s="154">
        <v>2.1999999999999999E-2</v>
      </c>
      <c r="G77" s="154">
        <v>2.53E-2</v>
      </c>
      <c r="H77" s="154">
        <v>1.8800000000000001E-2</v>
      </c>
      <c r="I77" s="1">
        <f>(0.25*F77-F77*'TAX reduces gains by'!$Y$5)  +  (0.25*G77-G77*'TAX reduces gains by'!$Y$4)  +  (0.5*H77-H77*'TAX reduces gains by'!$Y$3)</f>
        <v>8.6986565840891632E-3</v>
      </c>
      <c r="J77" s="135">
        <f t="shared" si="2"/>
        <v>17582.716432982703</v>
      </c>
      <c r="K77" s="135">
        <f t="shared" si="3"/>
        <v>17735.662445048642</v>
      </c>
    </row>
    <row r="78" spans="1:11" x14ac:dyDescent="0.25">
      <c r="A78" s="9">
        <v>2012</v>
      </c>
      <c r="B78" s="9">
        <v>2</v>
      </c>
      <c r="C78" s="136">
        <v>1.2999999999999999E-2</v>
      </c>
      <c r="D78" s="136">
        <f t="shared" si="1"/>
        <v>1.2975E-2</v>
      </c>
      <c r="E78" s="141">
        <v>47612</v>
      </c>
      <c r="F78" s="165">
        <v>-2.9999999999999997E-4</v>
      </c>
      <c r="G78" s="136">
        <v>2.6599999999999999E-2</v>
      </c>
      <c r="H78" s="136">
        <v>1.2800000000000001E-2</v>
      </c>
      <c r="I78" s="1">
        <f>(0.25*F78)  +  (0.25*G78-G78*'TAX reduces gains by'!$Y$4)  +  (0.5*H78-H78*'TAX reduces gains by'!$Y$3)</f>
        <v>3.0511883025621939E-3</v>
      </c>
      <c r="J78" s="135">
        <f t="shared" si="2"/>
        <v>14402.662445048642</v>
      </c>
      <c r="K78" s="135">
        <f t="shared" si="3"/>
        <v>14446.607680226725</v>
      </c>
    </row>
    <row r="79" spans="1:11" x14ac:dyDescent="0.25">
      <c r="A79" s="9">
        <v>2012</v>
      </c>
      <c r="B79" s="9">
        <v>3</v>
      </c>
      <c r="C79" s="136">
        <v>5.7999999999999996E-3</v>
      </c>
      <c r="D79" s="136">
        <f t="shared" si="1"/>
        <v>5.7000000000000002E-3</v>
      </c>
      <c r="E79" s="141">
        <v>44556</v>
      </c>
      <c r="F79" s="165">
        <v>-9.1999999999999998E-3</v>
      </c>
      <c r="G79" s="136">
        <v>2.2800000000000001E-2</v>
      </c>
      <c r="H79" s="136">
        <v>4.5999999999999999E-3</v>
      </c>
      <c r="I79" s="108">
        <f>(0.25*F79)  +  (0.25*G79-G79*'TAX reduces gains by'!$Y$4)  +  (0.5*H79-H79*'TAX reduces gains by'!$Y$3)</f>
        <v>-9.1580589556631209E-4</v>
      </c>
      <c r="J79" s="135">
        <f t="shared" si="2"/>
        <v>11113.607680226725</v>
      </c>
      <c r="K79" s="135">
        <f t="shared" si="3"/>
        <v>11103.429772792162</v>
      </c>
    </row>
    <row r="80" spans="1:11" x14ac:dyDescent="0.25">
      <c r="A80" s="9">
        <v>2012</v>
      </c>
      <c r="B80" s="9">
        <v>4</v>
      </c>
      <c r="C80" s="136">
        <v>7.4000000000000003E-3</v>
      </c>
      <c r="D80" s="136">
        <f t="shared" si="1"/>
        <v>7.45E-3</v>
      </c>
      <c r="E80" s="141">
        <v>41551</v>
      </c>
      <c r="F80" s="136">
        <v>1.12E-2</v>
      </c>
      <c r="G80" s="136">
        <v>0</v>
      </c>
      <c r="H80" s="136">
        <v>9.2999999999999992E-3</v>
      </c>
      <c r="I80" s="1">
        <f>(0.25*F80-F80*'TAX reduces gains by'!$Y$5)  +  (0.25*G80-G80*'TAX reduces gains by'!$Y$4)  +  (0.5*H80-H80*'TAX reduces gains by'!$Y$3)</f>
        <v>4.1197084371480258E-3</v>
      </c>
      <c r="J80" s="135">
        <f t="shared" si="2"/>
        <v>7770.4297727921621</v>
      </c>
      <c r="K80" s="135">
        <f t="shared" si="3"/>
        <v>7802.4416778874001</v>
      </c>
    </row>
    <row r="81" spans="1:12" x14ac:dyDescent="0.25">
      <c r="A81" s="9">
        <v>2012</v>
      </c>
      <c r="B81" s="9">
        <v>5</v>
      </c>
      <c r="C81" s="165">
        <v>-1.8599999999999998E-2</v>
      </c>
      <c r="D81" s="136">
        <f t="shared" si="1"/>
        <v>-1.8225000000000002E-2</v>
      </c>
      <c r="E81" s="141">
        <v>37445</v>
      </c>
      <c r="F81" s="136">
        <v>6.8999999999999999E-3</v>
      </c>
      <c r="G81" s="165">
        <v>-5.1200000000000002E-2</v>
      </c>
      <c r="H81" s="165">
        <v>-1.43E-2</v>
      </c>
      <c r="I81" s="108">
        <f>(0.25*F81-F81*'TAX reduces gains by'!$Y$5)  +  (0.25*G81)  +  (0.5*H81)</f>
        <v>-1.8576841359773371E-2</v>
      </c>
      <c r="J81" s="135">
        <f t="shared" si="2"/>
        <v>4469.4416778874001</v>
      </c>
      <c r="K81" s="135">
        <f t="shared" si="3"/>
        <v>4386.4135688705264</v>
      </c>
    </row>
    <row r="82" spans="1:12" x14ac:dyDescent="0.25">
      <c r="A82" s="9">
        <v>2012</v>
      </c>
      <c r="B82" s="9">
        <v>6</v>
      </c>
      <c r="C82" s="136">
        <v>1.9699999999999999E-2</v>
      </c>
      <c r="D82" s="136">
        <f t="shared" si="1"/>
        <v>1.9775000000000001E-2</v>
      </c>
      <c r="E82" s="141">
        <v>34850</v>
      </c>
      <c r="F82" s="165">
        <v>-1.6999999999999999E-3</v>
      </c>
      <c r="G82" s="136">
        <v>4.0800000000000003E-2</v>
      </c>
      <c r="H82" s="136">
        <v>0.02</v>
      </c>
      <c r="I82" s="1">
        <f>(0.25*F82)  +  (0.25*G82-G82*'TAX reduces gains by'!$Y$4)  +  (0.5*H82-H82*'TAX reduces gains by'!$Y$3)</f>
        <v>4.4446548907494396E-3</v>
      </c>
      <c r="J82" s="135">
        <f t="shared" si="2"/>
        <v>1053.4135688705264</v>
      </c>
      <c r="K82" s="135">
        <f t="shared" si="3"/>
        <v>1058.0956286413887</v>
      </c>
    </row>
    <row r="83" spans="1:12" x14ac:dyDescent="0.25">
      <c r="A83" s="9">
        <v>2012</v>
      </c>
      <c r="B83" s="9">
        <v>7</v>
      </c>
      <c r="C83" s="136">
        <v>1.8200000000000001E-2</v>
      </c>
      <c r="D83" s="136">
        <f t="shared" si="1"/>
        <v>1.8149999999999999E-2</v>
      </c>
      <c r="E83" s="141">
        <v>32150</v>
      </c>
      <c r="F83" s="136">
        <v>1.3899999999999999E-2</v>
      </c>
      <c r="G83" s="136">
        <v>9.9000000000000008E-3</v>
      </c>
      <c r="H83" s="136">
        <v>2.4400000000000002E-2</v>
      </c>
      <c r="I83" s="1">
        <f>(0.25*F83-F83*'TAX reduces gains by'!$Y$5)  +  (0.25*G83-G83*'TAX reduces gains by'!$Y$4)  +  (0.5*H83-H83*'TAX reduces gains by'!$Y$3)</f>
        <v>7.9220016832672081E-3</v>
      </c>
      <c r="J83" s="167">
        <f t="shared" si="2"/>
        <v>-2274.9043713586116</v>
      </c>
      <c r="K83" s="167">
        <f t="shared" si="3"/>
        <v>-2292.9261676177866</v>
      </c>
      <c r="L83" s="9">
        <f>7/12</f>
        <v>0.58333333333333337</v>
      </c>
    </row>
    <row r="84" spans="1:12" x14ac:dyDescent="0.25">
      <c r="A84" s="9">
        <v>2012</v>
      </c>
      <c r="B84" s="9">
        <v>8</v>
      </c>
      <c r="C84" s="136">
        <v>7.0000000000000001E-3</v>
      </c>
      <c r="D84" s="136">
        <f t="shared" si="1"/>
        <v>6.9250000000000006E-3</v>
      </c>
      <c r="E84" s="141">
        <v>29041</v>
      </c>
      <c r="F84" s="136">
        <v>1.8E-3</v>
      </c>
      <c r="G84" s="136">
        <v>1.5299999999999999E-2</v>
      </c>
      <c r="H84" s="136">
        <v>5.3E-3</v>
      </c>
      <c r="I84" s="1">
        <f>(0.25*F84-F84*'TAX reduces gains by'!$Y$5)  +  (0.25*G84-G84*'TAX reduces gains by'!$Y$4)  +  (0.5*H84-H84*'TAX reduces gains by'!$Y$3)</f>
        <v>1.7370467248549589E-3</v>
      </c>
      <c r="J84" s="135">
        <f t="shared" si="2"/>
        <v>-5625.9261676177866</v>
      </c>
      <c r="K84" s="135">
        <f t="shared" si="3"/>
        <v>-5635.6986642415231</v>
      </c>
    </row>
    <row r="85" spans="1:12" x14ac:dyDescent="0.25">
      <c r="A85" s="9">
        <v>2012</v>
      </c>
      <c r="B85" s="9">
        <v>9</v>
      </c>
      <c r="C85" s="136">
        <v>1.0200000000000001E-2</v>
      </c>
      <c r="D85" s="136">
        <f t="shared" si="1"/>
        <v>1.0149999999999999E-2</v>
      </c>
      <c r="E85" s="141">
        <v>26005</v>
      </c>
      <c r="F85" s="136">
        <v>6.6E-3</v>
      </c>
      <c r="G85" s="136">
        <v>1.6799999999999999E-2</v>
      </c>
      <c r="H85" s="136">
        <v>8.6E-3</v>
      </c>
      <c r="I85" s="1">
        <f>(0.25*F85-F85*'TAX reduces gains by'!$Y$5)  +  (0.25*G85-G85*'TAX reduces gains by'!$Y$4)  +  (0.5*H85-H85*'TAX reduces gains by'!$Y$3)</f>
        <v>3.3927576438233693E-3</v>
      </c>
      <c r="J85" s="135">
        <f t="shared" si="2"/>
        <v>-8968.6986642415231</v>
      </c>
      <c r="K85" s="135">
        <f t="shared" si="3"/>
        <v>-8999.1272851897775</v>
      </c>
    </row>
    <row r="86" spans="1:12" x14ac:dyDescent="0.25">
      <c r="A86" s="9">
        <v>2012</v>
      </c>
      <c r="B86" s="9">
        <v>10</v>
      </c>
      <c r="C86" s="165">
        <v>-1.2999999999999999E-3</v>
      </c>
      <c r="D86" s="136">
        <f t="shared" si="1"/>
        <v>-1.25E-3</v>
      </c>
      <c r="E86" s="141">
        <v>22637</v>
      </c>
      <c r="F86" s="136">
        <v>1.8E-3</v>
      </c>
      <c r="G86" s="165">
        <v>-1.18E-2</v>
      </c>
      <c r="H86" s="136">
        <v>2.5000000000000001E-3</v>
      </c>
      <c r="I86" s="108">
        <f>(0.25*F86-F86*'TAX reduces gains by'!$Y$5)  +  (0.25*G86)  +  (0.5*H86-H86*'TAX reduces gains by'!$Y$3)</f>
        <v>-2.0835015700194541E-3</v>
      </c>
      <c r="J86" s="135">
        <f t="shared" si="2"/>
        <v>-12332.127285189777</v>
      </c>
      <c r="K86" s="135">
        <f t="shared" si="3"/>
        <v>-12306.433278629405</v>
      </c>
    </row>
    <row r="87" spans="1:12" x14ac:dyDescent="0.25">
      <c r="A87" s="9">
        <v>2012</v>
      </c>
      <c r="B87" s="9">
        <v>11</v>
      </c>
      <c r="C87" s="136">
        <v>5.7000000000000002E-3</v>
      </c>
      <c r="D87" s="136">
        <f t="shared" si="1"/>
        <v>5.7749999999999998E-3</v>
      </c>
      <c r="E87" s="141">
        <v>19432</v>
      </c>
      <c r="F87" s="136">
        <v>1.49E-2</v>
      </c>
      <c r="G87" s="136">
        <v>2.3999999999999998E-3</v>
      </c>
      <c r="H87" s="136">
        <v>2.8999999999999998E-3</v>
      </c>
      <c r="I87" s="1">
        <f>(0.25*F87-F87*'TAX reduces gains by'!$Y$5)  +  (0.25*G87-G87*'TAX reduces gains by'!$Y$4)  +  (0.5*H87-H87*'TAX reduces gains by'!$Y$3)</f>
        <v>3.6020932879541534E-3</v>
      </c>
      <c r="J87" s="135">
        <f t="shared" si="2"/>
        <v>-15639.433278629405</v>
      </c>
      <c r="K87" s="135">
        <f t="shared" si="3"/>
        <v>-15695.767976269763</v>
      </c>
    </row>
    <row r="88" spans="1:12" x14ac:dyDescent="0.25">
      <c r="A88" s="156">
        <v>2012</v>
      </c>
      <c r="B88" s="156">
        <v>12</v>
      </c>
      <c r="C88" s="165">
        <v>-5.9999999999999995E-4</v>
      </c>
      <c r="D88" s="136">
        <f t="shared" si="1"/>
        <v>-6.500000000000003E-4</v>
      </c>
      <c r="E88" s="158">
        <v>16088</v>
      </c>
      <c r="F88" s="165">
        <v>-1.1900000000000001E-2</v>
      </c>
      <c r="G88" s="157">
        <v>5.4999999999999997E-3</v>
      </c>
      <c r="H88" s="157">
        <v>1.9E-3</v>
      </c>
      <c r="I88" s="108">
        <f>(0.25*F88)  +  (0.25*G88-G88*'TAX reduces gains by'!$Y$4)  +  (0.5*H88-H88*'TAX reduces gains by'!$Y$3)</f>
        <v>-2.4804047195762114E-3</v>
      </c>
      <c r="J88" s="135">
        <f t="shared" si="2"/>
        <v>-19028.767976269763</v>
      </c>
      <c r="K88" s="135">
        <f t="shared" si="3"/>
        <v>-18981.568930373702</v>
      </c>
    </row>
    <row r="89" spans="1:12" x14ac:dyDescent="0.25">
      <c r="A89" s="9" t="s">
        <v>21</v>
      </c>
      <c r="C89" s="136"/>
      <c r="D89" s="136"/>
      <c r="E89" s="141"/>
      <c r="F89" s="136"/>
    </row>
    <row r="90" spans="1:12" x14ac:dyDescent="0.25">
      <c r="A90" s="9" t="s">
        <v>36</v>
      </c>
      <c r="C90" s="136"/>
      <c r="D90" s="136"/>
      <c r="E90" s="141"/>
      <c r="F90" s="136"/>
    </row>
    <row r="92" spans="1:12" x14ac:dyDescent="0.25">
      <c r="A92" s="159" t="s">
        <v>0</v>
      </c>
      <c r="B92" s="159" t="s">
        <v>18</v>
      </c>
      <c r="C92" s="159" t="s">
        <v>2</v>
      </c>
      <c r="D92" s="159"/>
      <c r="E92" s="159" t="s">
        <v>3</v>
      </c>
      <c r="F92" s="159" t="s">
        <v>35</v>
      </c>
      <c r="G92" s="9" t="s">
        <v>19</v>
      </c>
      <c r="H92" s="9" t="s">
        <v>42</v>
      </c>
    </row>
    <row r="93" spans="1:12" x14ac:dyDescent="0.25">
      <c r="A93" s="159" t="s">
        <v>20</v>
      </c>
      <c r="B93" s="159"/>
      <c r="C93" s="159"/>
      <c r="D93" s="159"/>
      <c r="E93" s="159"/>
      <c r="F93" s="159"/>
    </row>
    <row r="94" spans="1:12" x14ac:dyDescent="0.25">
      <c r="A94" s="159"/>
      <c r="B94" s="159"/>
      <c r="C94" s="159"/>
      <c r="D94" s="159"/>
      <c r="E94" s="159"/>
      <c r="F94" s="159"/>
    </row>
    <row r="95" spans="1:12" x14ac:dyDescent="0.25">
      <c r="A95" s="159">
        <v>2015</v>
      </c>
      <c r="B95" s="159">
        <v>1</v>
      </c>
      <c r="C95" s="160">
        <v>-4.0000000000000002E-4</v>
      </c>
      <c r="D95" s="160"/>
      <c r="E95" s="161">
        <v>196584</v>
      </c>
      <c r="F95" s="160">
        <v>1.5100000000000001E-2</v>
      </c>
      <c r="G95" s="136">
        <v>-2.7699999999999999E-2</v>
      </c>
      <c r="H95" s="136">
        <v>5.4999999999999997E-3</v>
      </c>
    </row>
    <row r="96" spans="1:12" x14ac:dyDescent="0.25">
      <c r="A96" s="159">
        <v>2015</v>
      </c>
      <c r="B96" s="159">
        <v>2</v>
      </c>
      <c r="C96" s="160">
        <v>1.5699999999999999E-2</v>
      </c>
      <c r="D96" s="160"/>
      <c r="E96" s="161">
        <v>196335</v>
      </c>
      <c r="F96" s="160">
        <v>-9.5999999999999992E-3</v>
      </c>
      <c r="G96" s="136">
        <v>5.7599999999999998E-2</v>
      </c>
      <c r="H96" s="136">
        <v>8.2000000000000007E-3</v>
      </c>
    </row>
    <row r="97" spans="1:8" x14ac:dyDescent="0.25">
      <c r="A97" s="159">
        <v>2015</v>
      </c>
      <c r="B97" s="159">
        <v>3</v>
      </c>
      <c r="C97" s="160">
        <v>-2.3999999999999998E-3</v>
      </c>
      <c r="D97" s="160"/>
      <c r="E97" s="161">
        <v>192524</v>
      </c>
      <c r="F97" s="160">
        <v>2.5000000000000001E-3</v>
      </c>
      <c r="G97" s="136">
        <v>-1.01E-2</v>
      </c>
      <c r="H97" s="136">
        <v>-1E-3</v>
      </c>
    </row>
    <row r="98" spans="1:8" x14ac:dyDescent="0.25">
      <c r="A98" s="159">
        <v>2015</v>
      </c>
      <c r="B98" s="159">
        <v>4</v>
      </c>
      <c r="C98" s="160">
        <v>2.3999999999999998E-3</v>
      </c>
      <c r="D98" s="160"/>
      <c r="E98" s="161">
        <v>189661</v>
      </c>
      <c r="F98" s="160">
        <v>-4.5999999999999999E-3</v>
      </c>
      <c r="G98" s="136">
        <v>4.1999999999999997E-3</v>
      </c>
      <c r="H98" s="136">
        <v>5.1000000000000004E-3</v>
      </c>
    </row>
    <row r="99" spans="1:8" x14ac:dyDescent="0.25">
      <c r="A99" s="159">
        <v>2015</v>
      </c>
      <c r="B99" s="159">
        <v>5</v>
      </c>
      <c r="C99" s="160">
        <v>2.0999999999999999E-3</v>
      </c>
      <c r="D99" s="160"/>
      <c r="E99" s="161">
        <v>186734</v>
      </c>
      <c r="F99" s="160">
        <v>-3.0999999999999999E-3</v>
      </c>
      <c r="G99" s="136">
        <v>1.3899999999999999E-2</v>
      </c>
      <c r="H99" s="136">
        <v>-1.1999999999999999E-3</v>
      </c>
    </row>
    <row r="100" spans="1:8" x14ac:dyDescent="0.25">
      <c r="A100" s="159">
        <v>2015</v>
      </c>
      <c r="B100" s="159">
        <v>6</v>
      </c>
      <c r="C100" s="160">
        <v>-1.49E-2</v>
      </c>
      <c r="D100" s="160"/>
      <c r="E100" s="161">
        <v>180616</v>
      </c>
      <c r="F100" s="160">
        <v>-1.1000000000000001E-3</v>
      </c>
      <c r="G100" s="136">
        <v>-1.7000000000000001E-2</v>
      </c>
      <c r="H100" s="136">
        <v>-2.06E-2</v>
      </c>
    </row>
    <row r="101" spans="1:8" x14ac:dyDescent="0.25">
      <c r="A101" s="159">
        <v>2015</v>
      </c>
      <c r="B101" s="159">
        <v>7</v>
      </c>
      <c r="C101" s="160">
        <v>1.2E-2</v>
      </c>
      <c r="D101" s="160"/>
      <c r="E101" s="161">
        <v>179452</v>
      </c>
      <c r="F101" s="160">
        <v>6.7000000000000002E-3</v>
      </c>
      <c r="G101" s="136">
        <v>1.6500000000000001E-2</v>
      </c>
      <c r="H101" s="136">
        <v>1.23E-2</v>
      </c>
    </row>
    <row r="102" spans="1:8" x14ac:dyDescent="0.25">
      <c r="A102" s="159">
        <v>2015</v>
      </c>
      <c r="B102" s="159">
        <v>8</v>
      </c>
      <c r="C102" s="160">
        <v>-2.5499999999999998E-2</v>
      </c>
      <c r="D102" s="160"/>
      <c r="E102" s="161">
        <v>171548</v>
      </c>
      <c r="F102" s="160">
        <v>2.3999999999999998E-3</v>
      </c>
      <c r="G102" s="136">
        <v>-0.06</v>
      </c>
      <c r="H102" s="136">
        <v>-2.1600000000000001E-2</v>
      </c>
    </row>
    <row r="103" spans="1:8" x14ac:dyDescent="0.25">
      <c r="A103" s="159">
        <v>2015</v>
      </c>
      <c r="B103" s="159">
        <v>9</v>
      </c>
      <c r="C103" s="160">
        <v>-5.0000000000000001E-3</v>
      </c>
      <c r="D103" s="160"/>
      <c r="E103" s="161">
        <v>167358</v>
      </c>
      <c r="F103" s="160">
        <v>6.6E-3</v>
      </c>
      <c r="G103" s="136">
        <v>-2.9399999999999999E-2</v>
      </c>
      <c r="H103" s="136">
        <v>1.1000000000000001E-3</v>
      </c>
    </row>
    <row r="104" spans="1:8" x14ac:dyDescent="0.25">
      <c r="A104" s="159">
        <v>2015</v>
      </c>
      <c r="B104" s="159">
        <v>10</v>
      </c>
      <c r="C104" s="160">
        <v>3.6900000000000002E-2</v>
      </c>
      <c r="D104" s="160"/>
      <c r="E104" s="161">
        <v>170203</v>
      </c>
      <c r="F104" s="160">
        <v>3.8E-3</v>
      </c>
      <c r="G104" s="136">
        <v>7.8600000000000003E-2</v>
      </c>
      <c r="H104" s="136">
        <v>3.4000000000000002E-2</v>
      </c>
    </row>
    <row r="105" spans="1:8" x14ac:dyDescent="0.25">
      <c r="A105" s="159">
        <v>2015</v>
      </c>
      <c r="B105" s="159">
        <v>11</v>
      </c>
      <c r="C105" s="160">
        <v>2.2000000000000001E-3</v>
      </c>
      <c r="D105" s="160"/>
      <c r="E105" s="161">
        <v>167237</v>
      </c>
      <c r="F105" s="160">
        <v>3.0000000000000001E-3</v>
      </c>
      <c r="G105" s="136">
        <v>5.5999999999999999E-3</v>
      </c>
      <c r="H105" s="136">
        <v>0</v>
      </c>
    </row>
    <row r="106" spans="1:8" x14ac:dyDescent="0.25">
      <c r="A106" s="159">
        <v>2015</v>
      </c>
      <c r="B106" s="159">
        <v>12</v>
      </c>
      <c r="C106" s="160">
        <v>-7.4000000000000003E-3</v>
      </c>
      <c r="D106" s="160"/>
      <c r="E106" s="161">
        <v>162670</v>
      </c>
      <c r="F106" s="160">
        <v>6.6E-3</v>
      </c>
      <c r="G106" s="136">
        <v>-2.0400000000000001E-2</v>
      </c>
      <c r="H106" s="136">
        <v>-7.9000000000000008E-3</v>
      </c>
    </row>
    <row r="107" spans="1:8" x14ac:dyDescent="0.25">
      <c r="A107" s="159">
        <v>2016</v>
      </c>
      <c r="B107" s="159">
        <v>1</v>
      </c>
      <c r="C107" s="160">
        <v>-1.1900000000000001E-2</v>
      </c>
      <c r="D107" s="160"/>
      <c r="E107" s="161">
        <v>157397</v>
      </c>
      <c r="F107" s="160">
        <v>1.29E-2</v>
      </c>
      <c r="G107" s="136">
        <v>-5.6500000000000002E-2</v>
      </c>
      <c r="H107" s="136">
        <v>-2E-3</v>
      </c>
    </row>
    <row r="108" spans="1:8" x14ac:dyDescent="0.25">
      <c r="A108" s="159">
        <v>2016</v>
      </c>
      <c r="B108" s="159">
        <v>2</v>
      </c>
      <c r="C108" s="160">
        <v>2.2000000000000001E-3</v>
      </c>
      <c r="D108" s="160"/>
      <c r="E108" s="161">
        <v>154410</v>
      </c>
      <c r="F108" s="160">
        <v>1E-4</v>
      </c>
      <c r="G108" s="136">
        <v>-4.0000000000000002E-4</v>
      </c>
      <c r="H108" s="136">
        <v>4.4999999999999997E-3</v>
      </c>
    </row>
    <row r="109" spans="1:8" x14ac:dyDescent="0.25">
      <c r="A109" s="159">
        <v>2016</v>
      </c>
      <c r="B109" s="159">
        <v>3</v>
      </c>
      <c r="C109" s="160">
        <v>3.5299999999999998E-2</v>
      </c>
      <c r="D109" s="160"/>
      <c r="E109" s="161">
        <v>156530</v>
      </c>
      <c r="F109" s="160">
        <v>3.0000000000000001E-3</v>
      </c>
      <c r="G109" s="136">
        <v>7.0300000000000001E-2</v>
      </c>
      <c r="H109" s="136">
        <v>3.5200000000000002E-2</v>
      </c>
    </row>
    <row r="110" spans="1:8" x14ac:dyDescent="0.25">
      <c r="A110" s="159">
        <v>2016</v>
      </c>
      <c r="B110" s="159">
        <v>4</v>
      </c>
      <c r="C110" s="160">
        <v>7.7999999999999996E-3</v>
      </c>
      <c r="D110" s="160"/>
      <c r="E110" s="161">
        <v>154415</v>
      </c>
      <c r="F110" s="160">
        <v>6.4000000000000003E-3</v>
      </c>
      <c r="G110" s="136">
        <v>6.4999999999999997E-3</v>
      </c>
      <c r="H110" s="136">
        <v>9.1000000000000004E-3</v>
      </c>
    </row>
    <row r="111" spans="1:8" x14ac:dyDescent="0.25">
      <c r="A111" s="159">
        <v>2016</v>
      </c>
      <c r="B111" s="159">
        <v>5</v>
      </c>
      <c r="C111" s="160">
        <v>7.6E-3</v>
      </c>
      <c r="D111" s="160"/>
      <c r="E111" s="161">
        <v>152249</v>
      </c>
      <c r="F111" s="160">
        <v>8.9999999999999998E-4</v>
      </c>
      <c r="G111" s="136">
        <v>1.77E-2</v>
      </c>
      <c r="H111" s="136">
        <v>5.8999999999999999E-3</v>
      </c>
    </row>
    <row r="112" spans="1:8" x14ac:dyDescent="0.25">
      <c r="A112" s="159">
        <v>2016</v>
      </c>
      <c r="B112" s="159">
        <v>6</v>
      </c>
      <c r="C112" s="160">
        <v>1.5100000000000001E-2</v>
      </c>
      <c r="D112" s="160"/>
      <c r="E112" s="161">
        <v>151214</v>
      </c>
      <c r="F112" s="160">
        <v>1.4E-2</v>
      </c>
      <c r="G112" s="136">
        <v>2.5000000000000001E-3</v>
      </c>
      <c r="H112" s="136">
        <v>2.18E-2</v>
      </c>
    </row>
    <row r="113" spans="1:8" x14ac:dyDescent="0.25">
      <c r="A113" s="159">
        <v>2016</v>
      </c>
      <c r="B113" s="159">
        <v>7</v>
      </c>
      <c r="C113" s="160">
        <v>1.66E-2</v>
      </c>
      <c r="D113" s="160"/>
      <c r="E113" s="161">
        <v>150392</v>
      </c>
      <c r="F113" s="160">
        <v>-5.0000000000000001E-4</v>
      </c>
      <c r="G113" s="136">
        <v>3.95E-2</v>
      </c>
      <c r="H113" s="136">
        <v>1.38E-2</v>
      </c>
    </row>
    <row r="114" spans="1:8" x14ac:dyDescent="0.25">
      <c r="A114" s="159">
        <v>2016</v>
      </c>
      <c r="B114" s="159">
        <v>8</v>
      </c>
      <c r="C114" s="160">
        <v>1.1000000000000001E-3</v>
      </c>
      <c r="D114" s="160"/>
      <c r="E114" s="161">
        <v>147219</v>
      </c>
      <c r="F114" s="160">
        <v>1.5E-3</v>
      </c>
      <c r="G114" s="136">
        <v>2.8E-3</v>
      </c>
      <c r="H114" s="136">
        <v>0</v>
      </c>
    </row>
    <row r="115" spans="1:8" x14ac:dyDescent="0.25">
      <c r="A115" s="159">
        <v>2016</v>
      </c>
      <c r="B115" s="159">
        <v>9</v>
      </c>
      <c r="C115" s="160">
        <v>-2.2000000000000001E-3</v>
      </c>
      <c r="D115" s="160"/>
      <c r="E115" s="161">
        <v>143563</v>
      </c>
      <c r="F115" s="160">
        <v>-4.0000000000000001E-3</v>
      </c>
      <c r="G115" s="136">
        <v>1.5E-3</v>
      </c>
      <c r="H115" s="136">
        <v>-3.2000000000000002E-3</v>
      </c>
    </row>
    <row r="116" spans="1:8" x14ac:dyDescent="0.25">
      <c r="A116" s="159">
        <v>2016</v>
      </c>
      <c r="B116" s="159">
        <v>10</v>
      </c>
      <c r="C116" s="160">
        <v>-1.37E-2</v>
      </c>
      <c r="D116" s="160"/>
      <c r="E116" s="161">
        <v>138257</v>
      </c>
      <c r="F116" s="160">
        <v>-8.0999999999999996E-3</v>
      </c>
      <c r="G116" s="136">
        <v>-2.2100000000000002E-2</v>
      </c>
      <c r="H116" s="136">
        <v>-1.2200000000000001E-2</v>
      </c>
    </row>
    <row r="117" spans="1:8" x14ac:dyDescent="0.25">
      <c r="A117" s="159">
        <v>2016</v>
      </c>
      <c r="B117" s="159">
        <v>11</v>
      </c>
      <c r="C117" s="160">
        <v>-8.9999999999999998E-4</v>
      </c>
      <c r="D117" s="160"/>
      <c r="E117" s="161">
        <v>134801</v>
      </c>
      <c r="F117" s="160">
        <v>-3.4200000000000001E-2</v>
      </c>
      <c r="G117" s="136">
        <v>4.4499999999999998E-2</v>
      </c>
      <c r="H117" s="136">
        <v>-7.4000000000000003E-3</v>
      </c>
    </row>
    <row r="118" spans="1:8" x14ac:dyDescent="0.25">
      <c r="A118" s="159">
        <v>2016</v>
      </c>
      <c r="B118" s="159">
        <v>12</v>
      </c>
      <c r="C118" s="160">
        <v>1.41E-2</v>
      </c>
      <c r="D118" s="160"/>
      <c r="E118" s="161">
        <v>133369</v>
      </c>
      <c r="F118" s="160">
        <v>9.5999999999999992E-3</v>
      </c>
      <c r="G118" s="136">
        <v>1.9300000000000001E-2</v>
      </c>
      <c r="H118" s="136">
        <v>1.35E-2</v>
      </c>
    </row>
    <row r="119" spans="1:8" x14ac:dyDescent="0.25">
      <c r="A119" s="159">
        <v>2017</v>
      </c>
      <c r="B119" s="159">
        <v>1</v>
      </c>
      <c r="C119" s="160">
        <v>7.4999999999999997E-3</v>
      </c>
      <c r="D119" s="160"/>
      <c r="E119" s="161">
        <v>131037</v>
      </c>
      <c r="F119" s="160">
        <v>5.3E-3</v>
      </c>
      <c r="G119" s="136">
        <v>1.9300000000000001E-2</v>
      </c>
      <c r="H119" s="136">
        <v>2.7000000000000001E-3</v>
      </c>
    </row>
    <row r="120" spans="1:8" x14ac:dyDescent="0.25">
      <c r="A120" s="159">
        <v>2017</v>
      </c>
      <c r="B120" s="159">
        <v>2</v>
      </c>
      <c r="C120" s="160">
        <v>2.06E-2</v>
      </c>
      <c r="D120" s="160"/>
      <c r="E120" s="161">
        <v>130397</v>
      </c>
      <c r="F120" s="160">
        <v>5.7000000000000002E-3</v>
      </c>
      <c r="G120" s="136">
        <v>3.7100000000000001E-2</v>
      </c>
      <c r="H120" s="136">
        <v>1.9599999999999999E-2</v>
      </c>
    </row>
    <row r="121" spans="1:8" x14ac:dyDescent="0.25">
      <c r="A121" s="159">
        <v>2017</v>
      </c>
      <c r="B121" s="159">
        <v>3</v>
      </c>
      <c r="C121" s="160">
        <v>8.0000000000000004E-4</v>
      </c>
      <c r="D121" s="160"/>
      <c r="E121" s="161">
        <v>127163</v>
      </c>
      <c r="F121" s="160">
        <v>3.0999999999999999E-3</v>
      </c>
      <c r="G121" s="136">
        <v>8.0000000000000004E-4</v>
      </c>
      <c r="H121" s="136">
        <v>-4.0000000000000002E-4</v>
      </c>
    </row>
    <row r="122" spans="1:8" x14ac:dyDescent="0.25">
      <c r="A122" s="159">
        <v>2017</v>
      </c>
      <c r="B122" s="159">
        <v>4</v>
      </c>
      <c r="C122" s="160">
        <v>8.0000000000000002E-3</v>
      </c>
      <c r="D122" s="160"/>
      <c r="E122" s="161">
        <v>124841</v>
      </c>
      <c r="F122" s="160">
        <v>7.3000000000000001E-3</v>
      </c>
      <c r="G122" s="136">
        <v>1.0500000000000001E-2</v>
      </c>
      <c r="H122" s="136">
        <v>7.0000000000000001E-3</v>
      </c>
    </row>
    <row r="123" spans="1:8" x14ac:dyDescent="0.25">
      <c r="A123" s="159">
        <v>2017</v>
      </c>
      <c r="B123" s="159">
        <v>5</v>
      </c>
      <c r="C123" s="160">
        <v>1.17E-2</v>
      </c>
      <c r="D123" s="160"/>
      <c r="E123" s="161">
        <v>122972</v>
      </c>
      <c r="F123" s="160">
        <v>1.37E-2</v>
      </c>
      <c r="G123" s="136">
        <v>1.0200000000000001E-2</v>
      </c>
      <c r="H123" s="136">
        <v>1.15E-2</v>
      </c>
    </row>
    <row r="124" spans="1:8" x14ac:dyDescent="0.25">
      <c r="A124" s="159">
        <v>2017</v>
      </c>
      <c r="B124" s="159">
        <v>6</v>
      </c>
      <c r="C124" s="160">
        <v>3.5999999999999999E-3</v>
      </c>
      <c r="D124" s="160"/>
      <c r="E124" s="161">
        <v>120083</v>
      </c>
      <c r="F124" s="160">
        <v>-3.3999999999999998E-3</v>
      </c>
      <c r="G124" s="136">
        <v>9.2999999999999992E-3</v>
      </c>
      <c r="H124" s="136">
        <v>4.1000000000000003E-3</v>
      </c>
    </row>
    <row r="125" spans="1:8" x14ac:dyDescent="0.25">
      <c r="A125" s="159">
        <v>2017</v>
      </c>
      <c r="B125" s="159">
        <v>7</v>
      </c>
      <c r="C125" s="160">
        <v>1.0800000000000001E-2</v>
      </c>
      <c r="D125" s="160"/>
      <c r="E125" s="161">
        <v>118044</v>
      </c>
      <c r="F125" s="160">
        <v>6.4999999999999997E-3</v>
      </c>
      <c r="G125" s="136">
        <v>1.8700000000000001E-2</v>
      </c>
      <c r="H125" s="136">
        <v>8.8000000000000005E-3</v>
      </c>
    </row>
    <row r="126" spans="1:8" x14ac:dyDescent="0.25">
      <c r="A126" s="159">
        <v>2017</v>
      </c>
      <c r="B126" s="159">
        <v>8</v>
      </c>
      <c r="C126" s="160">
        <v>5.0000000000000001E-3</v>
      </c>
      <c r="D126" s="160"/>
      <c r="E126" s="161">
        <v>115297</v>
      </c>
      <c r="F126" s="160">
        <v>7.9000000000000008E-3</v>
      </c>
      <c r="G126" s="136">
        <v>1.6000000000000001E-3</v>
      </c>
      <c r="H126" s="136">
        <v>5.3E-3</v>
      </c>
    </row>
    <row r="127" spans="1:8" x14ac:dyDescent="0.25">
      <c r="A127" s="159">
        <v>2017</v>
      </c>
      <c r="B127" s="159">
        <v>9</v>
      </c>
      <c r="C127" s="160">
        <v>9.5999999999999992E-3</v>
      </c>
      <c r="D127" s="160"/>
      <c r="E127" s="161">
        <v>113067</v>
      </c>
      <c r="F127" s="160">
        <v>-4.1000000000000003E-3</v>
      </c>
      <c r="G127" s="136">
        <v>2.46E-2</v>
      </c>
      <c r="H127" s="136">
        <v>8.3999999999999995E-3</v>
      </c>
    </row>
    <row r="128" spans="1:8" x14ac:dyDescent="0.25">
      <c r="A128" s="159">
        <v>2017</v>
      </c>
      <c r="B128" s="159">
        <v>10</v>
      </c>
      <c r="C128" s="160">
        <v>1.04E-2</v>
      </c>
      <c r="D128" s="160"/>
      <c r="E128" s="161">
        <v>110910</v>
      </c>
      <c r="F128" s="160">
        <v>8.9999999999999998E-4</v>
      </c>
      <c r="G128" s="136">
        <v>2.1700000000000001E-2</v>
      </c>
      <c r="H128" s="136">
        <v>8.9999999999999993E-3</v>
      </c>
    </row>
    <row r="129" spans="1:8" x14ac:dyDescent="0.25">
      <c r="A129" s="159">
        <v>2017</v>
      </c>
      <c r="B129" s="159">
        <v>11</v>
      </c>
      <c r="C129" s="160">
        <v>1.18E-2</v>
      </c>
      <c r="D129" s="160"/>
      <c r="E129" s="161">
        <v>108883</v>
      </c>
      <c r="F129" s="160">
        <v>-7.0000000000000001E-3</v>
      </c>
      <c r="G129" s="136">
        <v>3.04E-2</v>
      </c>
      <c r="H129" s="136">
        <v>1.0800000000000001E-2</v>
      </c>
    </row>
    <row r="130" spans="1:8" x14ac:dyDescent="0.25">
      <c r="A130" s="159">
        <v>2017</v>
      </c>
      <c r="B130" s="159">
        <v>12</v>
      </c>
      <c r="C130" s="160">
        <v>1.01E-2</v>
      </c>
      <c r="D130" s="160"/>
      <c r="E130" s="161">
        <v>106652</v>
      </c>
      <c r="F130" s="160">
        <v>8.6999999999999994E-3</v>
      </c>
      <c r="G130" s="136">
        <v>1.01E-2</v>
      </c>
      <c r="H130" s="136">
        <v>1.0800000000000001E-2</v>
      </c>
    </row>
    <row r="131" spans="1:8" x14ac:dyDescent="0.25">
      <c r="A131" s="159">
        <v>2018</v>
      </c>
      <c r="B131" s="159">
        <v>1</v>
      </c>
      <c r="C131" s="160">
        <v>1.35E-2</v>
      </c>
      <c r="D131" s="160"/>
      <c r="E131" s="161">
        <v>104757</v>
      </c>
      <c r="F131" s="160">
        <v>-1.04E-2</v>
      </c>
      <c r="G131" s="136">
        <v>5.3199999999999997E-2</v>
      </c>
      <c r="H131" s="136">
        <v>5.5999999999999999E-3</v>
      </c>
    </row>
    <row r="132" spans="1:8" x14ac:dyDescent="0.25">
      <c r="A132" s="159">
        <v>2018</v>
      </c>
      <c r="B132" s="159">
        <v>2</v>
      </c>
      <c r="C132" s="160">
        <v>-2.3900000000000001E-2</v>
      </c>
      <c r="D132" s="160"/>
      <c r="E132" s="161">
        <v>98920</v>
      </c>
      <c r="F132" s="160">
        <v>-2.8999999999999998E-3</v>
      </c>
      <c r="G132" s="136">
        <v>-3.7100000000000001E-2</v>
      </c>
      <c r="H132" s="136">
        <v>-2.7300000000000001E-2</v>
      </c>
    </row>
    <row r="133" spans="1:8" x14ac:dyDescent="0.25">
      <c r="A133" s="159">
        <v>2018</v>
      </c>
      <c r="B133" s="159">
        <v>3</v>
      </c>
      <c r="C133" s="160">
        <v>-5.7999999999999996E-3</v>
      </c>
      <c r="D133" s="160"/>
      <c r="E133" s="161">
        <v>95009</v>
      </c>
      <c r="F133" s="160">
        <v>2.3999999999999998E-3</v>
      </c>
      <c r="G133" s="136">
        <v>-1.9800000000000002E-2</v>
      </c>
      <c r="H133" s="136">
        <v>-2.7000000000000001E-3</v>
      </c>
    </row>
    <row r="134" spans="1:8" x14ac:dyDescent="0.25">
      <c r="A134" s="159">
        <v>2018</v>
      </c>
      <c r="B134" s="159">
        <v>4</v>
      </c>
      <c r="C134" s="160">
        <v>-2.3999999999999998E-3</v>
      </c>
      <c r="D134" s="160"/>
      <c r="E134" s="161">
        <v>91450</v>
      </c>
      <c r="F134" s="160">
        <v>-3.5000000000000001E-3</v>
      </c>
      <c r="G134" s="136">
        <v>3.8E-3</v>
      </c>
      <c r="H134" s="136">
        <v>-5.0000000000000001E-3</v>
      </c>
    </row>
    <row r="135" spans="1:8" x14ac:dyDescent="0.25">
      <c r="A135" s="159">
        <v>2018</v>
      </c>
      <c r="B135" s="159">
        <v>5</v>
      </c>
      <c r="C135" s="160">
        <v>1.2999999999999999E-2</v>
      </c>
      <c r="D135" s="160"/>
      <c r="E135" s="161">
        <v>89306</v>
      </c>
      <c r="F135" s="160">
        <v>1.04E-2</v>
      </c>
      <c r="G135" s="136">
        <v>2.8199999999999999E-2</v>
      </c>
      <c r="H135" s="136">
        <v>6.4999999999999997E-3</v>
      </c>
    </row>
    <row r="136" spans="1:8" x14ac:dyDescent="0.25">
      <c r="A136" s="159">
        <v>2018</v>
      </c>
      <c r="B136" s="159">
        <v>6</v>
      </c>
      <c r="C136" s="160">
        <v>2.8E-3</v>
      </c>
      <c r="D136" s="160"/>
      <c r="E136" s="161">
        <v>86219</v>
      </c>
      <c r="F136" s="160">
        <v>8.9999999999999998E-4</v>
      </c>
      <c r="G136" s="136">
        <v>6.7000000000000002E-3</v>
      </c>
      <c r="H136" s="136">
        <v>1.6000000000000001E-3</v>
      </c>
    </row>
    <row r="137" spans="1:8" x14ac:dyDescent="0.25">
      <c r="A137" s="159">
        <v>2018</v>
      </c>
      <c r="B137" s="159">
        <v>7</v>
      </c>
      <c r="C137" s="160">
        <v>1.9300000000000001E-2</v>
      </c>
      <c r="D137" s="160"/>
      <c r="E137" s="161">
        <v>84549</v>
      </c>
      <c r="F137" s="160">
        <v>2.3999999999999998E-3</v>
      </c>
      <c r="G137" s="136">
        <v>3.3500000000000002E-2</v>
      </c>
      <c r="H137" s="136">
        <v>2.0400000000000001E-2</v>
      </c>
    </row>
    <row r="138" spans="1:8" x14ac:dyDescent="0.25">
      <c r="A138" s="159">
        <v>2018</v>
      </c>
      <c r="B138" s="159">
        <v>8</v>
      </c>
      <c r="C138" s="160">
        <v>1.23E-2</v>
      </c>
      <c r="D138" s="160"/>
      <c r="E138" s="161">
        <v>82253</v>
      </c>
      <c r="F138" s="160">
        <v>1.6999999999999999E-3</v>
      </c>
      <c r="G138" s="136">
        <v>3.4500000000000003E-2</v>
      </c>
      <c r="H138" s="136">
        <v>5.7000000000000002E-3</v>
      </c>
    </row>
    <row r="139" spans="1:8" x14ac:dyDescent="0.25">
      <c r="A139" s="159">
        <v>2018</v>
      </c>
      <c r="B139" s="159">
        <v>9</v>
      </c>
      <c r="C139" s="160">
        <v>-1.9E-3</v>
      </c>
      <c r="D139" s="160"/>
      <c r="E139" s="161">
        <v>78767</v>
      </c>
      <c r="F139" s="160">
        <v>-4.7999999999999996E-3</v>
      </c>
      <c r="G139" s="136">
        <v>1.6000000000000001E-3</v>
      </c>
      <c r="H139" s="136">
        <v>-2.3E-3</v>
      </c>
    </row>
    <row r="140" spans="1:8" x14ac:dyDescent="0.25">
      <c r="A140" s="159">
        <v>2018</v>
      </c>
      <c r="B140" s="159">
        <v>10</v>
      </c>
      <c r="C140" s="160">
        <v>-3.2399999999999998E-2</v>
      </c>
      <c r="D140" s="160"/>
      <c r="E140" s="161">
        <v>72884</v>
      </c>
      <c r="F140" s="160">
        <v>-5.5999999999999999E-3</v>
      </c>
      <c r="G140" s="136">
        <v>-7.3999999999999996E-2</v>
      </c>
      <c r="H140" s="136">
        <v>-2.2700000000000001E-2</v>
      </c>
    </row>
    <row r="141" spans="1:8" x14ac:dyDescent="0.25">
      <c r="A141" s="159">
        <v>2018</v>
      </c>
      <c r="B141" s="159">
        <v>11</v>
      </c>
      <c r="C141" s="160">
        <v>1.6E-2</v>
      </c>
      <c r="D141" s="160"/>
      <c r="E141" s="161">
        <v>70714</v>
      </c>
      <c r="F141" s="160">
        <v>1.04E-2</v>
      </c>
      <c r="G141" s="136">
        <v>2.0799999999999999E-2</v>
      </c>
      <c r="H141" s="136">
        <v>1.6299999999999999E-2</v>
      </c>
    </row>
    <row r="142" spans="1:8" x14ac:dyDescent="0.25">
      <c r="A142" s="159">
        <v>2018</v>
      </c>
      <c r="B142" s="159">
        <v>12</v>
      </c>
      <c r="C142" s="160">
        <v>-3.1399999999999997E-2</v>
      </c>
      <c r="D142" s="160"/>
      <c r="E142" s="161">
        <v>65161</v>
      </c>
      <c r="F142" s="160">
        <v>1.1900000000000001E-2</v>
      </c>
      <c r="G142" s="136">
        <v>-9.2999999999999999E-2</v>
      </c>
      <c r="H142" s="136">
        <v>-2.0799999999999999E-2</v>
      </c>
    </row>
    <row r="143" spans="1:8" x14ac:dyDescent="0.25">
      <c r="A143" s="159">
        <v>2019</v>
      </c>
      <c r="B143" s="159">
        <v>1</v>
      </c>
      <c r="C143" s="160">
        <v>3.9699999999999999E-2</v>
      </c>
      <c r="D143" s="160"/>
      <c r="E143" s="161">
        <v>64415</v>
      </c>
      <c r="F143" s="160">
        <v>8.2000000000000007E-3</v>
      </c>
      <c r="G143" s="136">
        <v>8.5999999999999993E-2</v>
      </c>
      <c r="H143" s="136">
        <v>3.2300000000000002E-2</v>
      </c>
    </row>
    <row r="144" spans="1:8" x14ac:dyDescent="0.25">
      <c r="A144" s="159">
        <v>2019</v>
      </c>
      <c r="B144" s="159">
        <v>2</v>
      </c>
      <c r="C144" s="160">
        <v>1.7899999999999999E-2</v>
      </c>
      <c r="D144" s="160"/>
      <c r="E144" s="161">
        <v>62233</v>
      </c>
      <c r="F144" s="160">
        <v>5.0000000000000001E-3</v>
      </c>
      <c r="G144" s="136">
        <v>3.5099999999999999E-2</v>
      </c>
      <c r="H144" s="136">
        <v>1.5100000000000001E-2</v>
      </c>
    </row>
    <row r="145" spans="1:8" x14ac:dyDescent="0.25">
      <c r="A145" s="159">
        <v>2019</v>
      </c>
      <c r="B145" s="159">
        <v>3</v>
      </c>
      <c r="C145" s="160">
        <v>1.6199999999999999E-2</v>
      </c>
      <c r="D145" s="160"/>
      <c r="E145" s="161">
        <v>59911</v>
      </c>
      <c r="F145" s="160">
        <v>1.2999999999999999E-2</v>
      </c>
      <c r="G145" s="136">
        <v>1.4500000000000001E-2</v>
      </c>
      <c r="H145" s="136">
        <v>1.8800000000000001E-2</v>
      </c>
    </row>
    <row r="146" spans="1:8" x14ac:dyDescent="0.25">
      <c r="A146" s="159">
        <v>2019</v>
      </c>
      <c r="B146" s="159">
        <v>4</v>
      </c>
      <c r="C146" s="160">
        <v>1.66E-2</v>
      </c>
      <c r="D146" s="160"/>
      <c r="E146" s="161">
        <v>57573</v>
      </c>
      <c r="F146" s="160">
        <v>2.8999999999999998E-3</v>
      </c>
      <c r="G146" s="136">
        <v>3.9800000000000002E-2</v>
      </c>
      <c r="H146" s="136">
        <v>1.0800000000000001E-2</v>
      </c>
    </row>
    <row r="147" spans="1:8" x14ac:dyDescent="0.25">
      <c r="A147" s="159">
        <v>2019</v>
      </c>
      <c r="B147" s="159">
        <v>5</v>
      </c>
      <c r="C147" s="160">
        <v>-1.7500000000000002E-2</v>
      </c>
      <c r="D147" s="160"/>
      <c r="E147" s="161">
        <v>53236</v>
      </c>
      <c r="F147" s="160">
        <v>1.3599999999999999E-2</v>
      </c>
      <c r="G147" s="136">
        <v>-6.4299999999999996E-2</v>
      </c>
      <c r="H147" s="136">
        <v>-6.4999999999999997E-3</v>
      </c>
    </row>
    <row r="148" spans="1:8" x14ac:dyDescent="0.25">
      <c r="A148" s="159">
        <v>2019</v>
      </c>
      <c r="B148" s="159">
        <v>6</v>
      </c>
      <c r="C148" s="160">
        <v>3.4599999999999999E-2</v>
      </c>
      <c r="D148" s="160"/>
      <c r="E148" s="161">
        <v>51745</v>
      </c>
      <c r="F148" s="160">
        <v>3.5999999999999999E-3</v>
      </c>
      <c r="G148" s="136">
        <v>6.9900000000000004E-2</v>
      </c>
      <c r="H148" s="136">
        <v>3.1399999999999997E-2</v>
      </c>
    </row>
    <row r="149" spans="1:8" x14ac:dyDescent="0.25">
      <c r="A149" s="159">
        <v>2019</v>
      </c>
      <c r="B149" s="159">
        <v>7</v>
      </c>
      <c r="C149" s="160">
        <v>8.0999999999999996E-3</v>
      </c>
      <c r="D149" s="160"/>
      <c r="E149" s="161">
        <v>48831</v>
      </c>
      <c r="F149" s="160">
        <v>7.7999999999999996E-3</v>
      </c>
      <c r="G149" s="136">
        <v>1.44E-2</v>
      </c>
      <c r="H149" s="136">
        <v>4.8999999999999998E-3</v>
      </c>
    </row>
    <row r="150" spans="1:8" x14ac:dyDescent="0.25">
      <c r="A150" s="159">
        <v>2019</v>
      </c>
      <c r="B150" s="159">
        <v>8</v>
      </c>
      <c r="C150" s="160">
        <v>6.1000000000000004E-3</v>
      </c>
      <c r="D150" s="160"/>
      <c r="E150" s="161">
        <v>45793</v>
      </c>
      <c r="F150" s="160">
        <v>1.32E-2</v>
      </c>
      <c r="G150" s="136">
        <v>-2.01E-2</v>
      </c>
      <c r="H150" s="136">
        <v>1.6799999999999999E-2</v>
      </c>
    </row>
    <row r="151" spans="1:8" x14ac:dyDescent="0.25">
      <c r="A151" s="159">
        <v>2019</v>
      </c>
      <c r="B151" s="159">
        <v>9</v>
      </c>
      <c r="C151" s="160">
        <v>5.5999999999999999E-3</v>
      </c>
      <c r="D151" s="160"/>
      <c r="E151" s="161">
        <v>42718</v>
      </c>
      <c r="F151" s="160">
        <v>-7.4999999999999997E-3</v>
      </c>
      <c r="G151" s="136">
        <v>1.7000000000000001E-2</v>
      </c>
      <c r="H151" s="136">
        <v>5.8999999999999999E-3</v>
      </c>
    </row>
    <row r="152" spans="1:8" x14ac:dyDescent="0.25">
      <c r="A152" s="159">
        <v>2019</v>
      </c>
      <c r="B152" s="159">
        <v>10</v>
      </c>
      <c r="C152" s="160">
        <v>9.1000000000000004E-3</v>
      </c>
      <c r="D152" s="160"/>
      <c r="E152" s="161">
        <v>39772</v>
      </c>
      <c r="F152" s="160">
        <v>1.4E-3</v>
      </c>
      <c r="G152" s="136">
        <v>2.1100000000000001E-2</v>
      </c>
      <c r="H152" s="136">
        <v>6.3E-3</v>
      </c>
    </row>
    <row r="153" spans="1:8" x14ac:dyDescent="0.25">
      <c r="A153" s="159">
        <v>2019</v>
      </c>
      <c r="B153" s="159">
        <v>11</v>
      </c>
      <c r="C153" s="160">
        <v>1.3599999999999999E-2</v>
      </c>
      <c r="D153" s="160"/>
      <c r="E153" s="161">
        <v>36978</v>
      </c>
      <c r="F153" s="160">
        <v>1.4E-3</v>
      </c>
      <c r="G153" s="136">
        <v>3.78E-2</v>
      </c>
      <c r="H153" s="136">
        <v>6.1999999999999998E-3</v>
      </c>
    </row>
    <row r="154" spans="1:8" x14ac:dyDescent="0.25">
      <c r="A154" s="162">
        <v>2019</v>
      </c>
      <c r="B154" s="162">
        <v>12</v>
      </c>
      <c r="C154" s="163">
        <v>1.43E-2</v>
      </c>
      <c r="D154" s="163"/>
      <c r="E154" s="164">
        <v>34174</v>
      </c>
      <c r="F154" s="163">
        <v>3.5000000000000001E-3</v>
      </c>
      <c r="G154" s="157">
        <v>2.86E-2</v>
      </c>
      <c r="H154" s="157">
        <v>1.14E-2</v>
      </c>
    </row>
    <row r="155" spans="1:8" x14ac:dyDescent="0.25">
      <c r="A155" s="159" t="s">
        <v>21</v>
      </c>
      <c r="B155" s="159"/>
      <c r="C155" s="159"/>
      <c r="D155" s="159"/>
      <c r="E155" s="159"/>
      <c r="F155" s="15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3C224-409B-424A-BFDB-E27AC5822CDC}">
  <dimension ref="A1:V154"/>
  <sheetViews>
    <sheetView workbookViewId="0"/>
  </sheetViews>
  <sheetFormatPr defaultRowHeight="15" x14ac:dyDescent="0.25"/>
  <cols>
    <col min="1" max="4" width="9.140625" style="9"/>
    <col min="5" max="5" width="18.140625" style="9" bestFit="1" customWidth="1"/>
    <col min="6" max="8" width="9.140625" style="9"/>
    <col min="9" max="9" width="20.42578125" style="9" bestFit="1" customWidth="1"/>
    <col min="10" max="16384" width="9.140625" style="9"/>
  </cols>
  <sheetData>
    <row r="1" spans="1:22" x14ac:dyDescent="0.25">
      <c r="A1" s="9" t="s">
        <v>43</v>
      </c>
      <c r="K1" s="9" t="s">
        <v>72</v>
      </c>
      <c r="L1" s="9" t="s">
        <v>6</v>
      </c>
      <c r="M1" s="130">
        <f>C4*5</f>
        <v>0.62114999999999998</v>
      </c>
      <c r="N1" s="131">
        <f>M1/M2</f>
        <v>1.2423</v>
      </c>
      <c r="R1" s="130">
        <f>C4</f>
        <v>0.12422999999999999</v>
      </c>
      <c r="V1" s="130">
        <f>D4</f>
        <v>9.9324127992556813E-2</v>
      </c>
    </row>
    <row r="2" spans="1:22" ht="90" x14ac:dyDescent="0.25">
      <c r="A2" s="9" t="s">
        <v>0</v>
      </c>
      <c r="B2" s="9" t="s">
        <v>1</v>
      </c>
      <c r="C2" s="9" t="s">
        <v>2</v>
      </c>
      <c r="E2" s="9" t="s">
        <v>3</v>
      </c>
      <c r="F2" s="132" t="s">
        <v>35</v>
      </c>
      <c r="G2" s="132" t="s">
        <v>58</v>
      </c>
      <c r="H2" s="132" t="s">
        <v>65</v>
      </c>
      <c r="L2" s="9" t="s">
        <v>7</v>
      </c>
      <c r="M2" s="134">
        <v>0.5</v>
      </c>
      <c r="P2" s="9" t="s">
        <v>8</v>
      </c>
      <c r="Q2" s="9">
        <v>200000</v>
      </c>
      <c r="R2" s="9">
        <v>40000</v>
      </c>
      <c r="S2" s="9" t="s">
        <v>9</v>
      </c>
      <c r="T2" s="9" t="s">
        <v>8</v>
      </c>
      <c r="U2" s="9">
        <v>200000</v>
      </c>
      <c r="V2" s="9">
        <v>40000</v>
      </c>
    </row>
    <row r="3" spans="1:22" x14ac:dyDescent="0.25">
      <c r="A3" s="9" t="s">
        <v>5</v>
      </c>
      <c r="F3" s="9">
        <f>0.2*(5.05-5.05*0.05)  +  0.4*(109-109*0.2)  +  0.4*(12.35 -12.35*0.13)</f>
        <v>40.137300000000003</v>
      </c>
      <c r="P3" s="9">
        <v>1</v>
      </c>
      <c r="Q3" s="9">
        <f>Q2 - R2</f>
        <v>160000</v>
      </c>
      <c r="R3" s="135">
        <f>Q3*(1+R1)</f>
        <v>179876.80000000002</v>
      </c>
      <c r="T3" s="9">
        <v>1</v>
      </c>
      <c r="U3" s="9">
        <f>U2 - V2</f>
        <v>160000</v>
      </c>
      <c r="V3" s="135">
        <f>U3*(1+V1)</f>
        <v>175891.86047880907</v>
      </c>
    </row>
    <row r="4" spans="1:22" ht="15.75" thickBot="1" x14ac:dyDescent="0.3">
      <c r="C4" s="136">
        <f>AVERAGE(C5:C24)</f>
        <v>0.12422999999999999</v>
      </c>
      <c r="D4" s="136">
        <f>AVERAGE(D5:D24)</f>
        <v>9.9324127992556813E-2</v>
      </c>
      <c r="E4" s="130">
        <f>0.2*(F4-(F4*0.05))+0.4*(G4-(G4*0.2))+0.4*(H4-(H4*0.13))</f>
        <v>0.10429951000000001</v>
      </c>
      <c r="F4" s="136">
        <f>AVERAGE(F5:F24)</f>
        <v>4.4354999999999992E-2</v>
      </c>
      <c r="G4" s="136">
        <f t="shared" ref="G4:H4" si="0">AVERAGE(G5:G24)</f>
        <v>0.160025</v>
      </c>
      <c r="H4" s="136">
        <f t="shared" si="0"/>
        <v>0.12834499999999999</v>
      </c>
      <c r="I4" s="130" t="s">
        <v>36</v>
      </c>
      <c r="P4" s="9">
        <v>2</v>
      </c>
      <c r="Q4" s="135">
        <f>R3-R2</f>
        <v>139876.80000000002</v>
      </c>
      <c r="R4" s="135">
        <f>Q4*(1+R1)</f>
        <v>157253.69486400002</v>
      </c>
      <c r="T4" s="9">
        <v>2</v>
      </c>
      <c r="U4" s="135">
        <f>V3-V2</f>
        <v>135891.86047880907</v>
      </c>
      <c r="V4" s="135">
        <f>U4*(1+V1)</f>
        <v>149389.20102215296</v>
      </c>
    </row>
    <row r="5" spans="1:22" x14ac:dyDescent="0.25">
      <c r="A5" s="9">
        <v>2000</v>
      </c>
      <c r="B5" s="136">
        <v>3.39E-2</v>
      </c>
      <c r="C5" s="136">
        <v>2.2599999999999999E-2</v>
      </c>
      <c r="D5" s="136">
        <f>(0.2*(F5-F5*'TAX reduces gains by'!$Y$23))  +  (0.4*G5)  +  (0.4*(H5-H5*'TAX reduces gains by'!$Y$22))</f>
        <v>8.0060103871577026E-3</v>
      </c>
      <c r="E5" s="141">
        <v>1023</v>
      </c>
      <c r="F5" s="136">
        <v>9.2399999999999996E-2</v>
      </c>
      <c r="G5" s="165">
        <v>-0.25309999999999999</v>
      </c>
      <c r="H5" s="136">
        <v>0.26350000000000001</v>
      </c>
      <c r="I5" s="9">
        <v>1</v>
      </c>
      <c r="K5" s="137" t="s">
        <v>73</v>
      </c>
      <c r="L5" s="138" t="s">
        <v>6</v>
      </c>
      <c r="M5" s="139">
        <f>M1</f>
        <v>0.62114999999999998</v>
      </c>
      <c r="N5" s="140">
        <f>M5/M6</f>
        <v>3.7418674698795176</v>
      </c>
      <c r="P5" s="9">
        <v>3</v>
      </c>
      <c r="Q5" s="135">
        <f>R4-R2</f>
        <v>117253.69486400002</v>
      </c>
      <c r="R5" s="135">
        <f>Q5*(1+R1)</f>
        <v>131820.12137695475</v>
      </c>
      <c r="T5" s="9">
        <v>3</v>
      </c>
      <c r="U5" s="135">
        <f>V4-V2</f>
        <v>109389.20102215296</v>
      </c>
      <c r="V5" s="135">
        <f>U5*(1+V1)</f>
        <v>120254.18802548081</v>
      </c>
    </row>
    <row r="6" spans="1:22" ht="15.75" thickBot="1" x14ac:dyDescent="0.3">
      <c r="A6" s="9">
        <v>2001</v>
      </c>
      <c r="B6" s="136">
        <v>1.55E-2</v>
      </c>
      <c r="C6" s="136">
        <v>0.49590000000000001</v>
      </c>
      <c r="D6" s="136">
        <f>(0.2*(F6-F6*'TAX reduces gains by'!$Y$23))  +  (0.4*(G6-G6*'TAX reduces gains by'!$Y$20))  +  (0.4*(H6-H6*'TAX reduces gains by'!$Y$22))</f>
        <v>0.40165582897294894</v>
      </c>
      <c r="E6" s="141">
        <v>1530</v>
      </c>
      <c r="F6" s="136">
        <v>5.0500000000000003E-2</v>
      </c>
      <c r="G6" s="136">
        <v>1.0909</v>
      </c>
      <c r="H6" s="136">
        <v>0.1235</v>
      </c>
      <c r="I6" s="9">
        <v>2</v>
      </c>
      <c r="K6" s="142"/>
      <c r="L6" s="143" t="s">
        <v>7</v>
      </c>
      <c r="M6" s="176">
        <v>0.16600000000000001</v>
      </c>
      <c r="N6" s="145"/>
      <c r="P6" s="9">
        <v>4</v>
      </c>
      <c r="Q6" s="135">
        <f>R5-R2</f>
        <v>91820.121376954747</v>
      </c>
      <c r="R6" s="135">
        <f>Q6*(1+R1)</f>
        <v>103226.93505561384</v>
      </c>
      <c r="T6" s="9">
        <v>4</v>
      </c>
      <c r="U6" s="135">
        <f>V5-V2</f>
        <v>80254.188025480806</v>
      </c>
      <c r="V6" s="135">
        <f>U6*(1+V1)</f>
        <v>88225.36526886237</v>
      </c>
    </row>
    <row r="7" spans="1:22" ht="15.75" thickBot="1" x14ac:dyDescent="0.3">
      <c r="A7" s="9">
        <v>2002</v>
      </c>
      <c r="B7" s="136">
        <v>2.3800000000000002E-2</v>
      </c>
      <c r="C7" s="165">
        <v>-4.53E-2</v>
      </c>
      <c r="D7" s="136">
        <f>(0.2*(F7-F7*'TAX reduces gains by'!$Y$23))  +  (0.4*G7)  +  (0.4*(H7-H7*'TAX reduces gains by'!$Y$22))</f>
        <v>-4.8095214964172642E-2</v>
      </c>
      <c r="E7" s="141">
        <v>1460</v>
      </c>
      <c r="F7" s="136">
        <v>7.9100000000000004E-2</v>
      </c>
      <c r="G7" s="165">
        <v>-0.19040000000000001</v>
      </c>
      <c r="H7" s="136">
        <v>3.7499999999999999E-2</v>
      </c>
      <c r="I7" s="9">
        <v>3</v>
      </c>
      <c r="P7" s="9">
        <v>5</v>
      </c>
      <c r="Q7" s="135">
        <f>R6-R2</f>
        <v>63226.935055613838</v>
      </c>
      <c r="R7" s="135">
        <f>Q7*(1+R1)</f>
        <v>71081.617197572748</v>
      </c>
      <c r="T7" s="9">
        <v>5</v>
      </c>
      <c r="U7" s="135">
        <f>V6-V2</f>
        <v>48225.36526886237</v>
      </c>
      <c r="V7" s="135">
        <f>U7*(1+V1)</f>
        <v>53015.307621314656</v>
      </c>
    </row>
    <row r="8" spans="1:22" x14ac:dyDescent="0.25">
      <c r="A8" s="9">
        <v>2003</v>
      </c>
      <c r="B8" s="136">
        <v>1.8800000000000001E-2</v>
      </c>
      <c r="C8" s="136">
        <v>0.34370000000000001</v>
      </c>
      <c r="D8" s="136">
        <f>(0.2*(F8-F8*'TAX reduces gains by'!$Y$23))  +  (0.4*(G8-G8*'TAX reduces gains by'!$Y$20))  +  (0.4*(H8-H8*'TAX reduces gains by'!$Y$22))</f>
        <v>0.28626913619952227</v>
      </c>
      <c r="E8" s="141">
        <v>1962</v>
      </c>
      <c r="F8" s="136">
        <v>4.4600000000000001E-2</v>
      </c>
      <c r="G8" s="136">
        <v>0.48039999999999999</v>
      </c>
      <c r="H8" s="136">
        <v>0.35649999999999998</v>
      </c>
      <c r="I8" s="9">
        <v>4</v>
      </c>
      <c r="K8" s="146" t="s">
        <v>139</v>
      </c>
      <c r="L8" s="147" t="s">
        <v>6</v>
      </c>
      <c r="M8" s="148">
        <f>D4*5</f>
        <v>0.49662063996278405</v>
      </c>
      <c r="N8" s="149">
        <f>M8/M9</f>
        <v>2.9916906021854461</v>
      </c>
    </row>
    <row r="9" spans="1:22" ht="15.75" thickBot="1" x14ac:dyDescent="0.3">
      <c r="A9" s="9">
        <v>2004</v>
      </c>
      <c r="B9" s="136">
        <v>3.2599999999999997E-2</v>
      </c>
      <c r="C9" s="136">
        <v>0.14649999999999999</v>
      </c>
      <c r="D9" s="136">
        <f>(0.2*(F9-F9*'TAX reduces gains by'!$Y$23))  +  (0.4*(G9-G9*'TAX reduces gains by'!$Y$20))  +  (0.4*(H9-H9*'TAX reduces gains by'!$Y$22))</f>
        <v>0.1267874576459479</v>
      </c>
      <c r="E9" s="141">
        <v>2250</v>
      </c>
      <c r="F9" s="136">
        <v>3.2300000000000002E-2</v>
      </c>
      <c r="G9" s="136">
        <v>4.2500000000000003E-2</v>
      </c>
      <c r="H9" s="136">
        <v>0.30759999999999998</v>
      </c>
      <c r="I9" s="9">
        <v>5</v>
      </c>
      <c r="K9" s="150"/>
      <c r="L9" s="151" t="s">
        <v>7</v>
      </c>
      <c r="M9" s="190">
        <f>M6</f>
        <v>0.16600000000000001</v>
      </c>
      <c r="N9" s="153"/>
    </row>
    <row r="10" spans="1:22" x14ac:dyDescent="0.25">
      <c r="A10" s="9">
        <v>2005</v>
      </c>
      <c r="B10" s="136">
        <v>3.4200000000000001E-2</v>
      </c>
      <c r="C10" s="136">
        <v>0.1166</v>
      </c>
      <c r="D10" s="136">
        <f>(0.2*(F10-F10*'TAX reduces gains by'!$Y$23))  +  (0.4*(G10-G10*'TAX reduces gains by'!$Y$20))  +  (0.4*(H10-H10*'TAX reduces gains by'!$Y$22))</f>
        <v>9.7281420818752434E-2</v>
      </c>
      <c r="E10" s="141">
        <v>2512</v>
      </c>
      <c r="F10" s="136">
        <v>2.24E-2</v>
      </c>
      <c r="G10" s="136">
        <v>0.16139999999999999</v>
      </c>
      <c r="H10" s="136">
        <v>0.11890000000000001</v>
      </c>
      <c r="I10" s="9">
        <v>6</v>
      </c>
      <c r="P10" s="9" t="s">
        <v>10</v>
      </c>
      <c r="T10" s="9" t="s">
        <v>10</v>
      </c>
    </row>
    <row r="11" spans="1:22" x14ac:dyDescent="0.25">
      <c r="A11" s="9">
        <v>2006</v>
      </c>
      <c r="B11" s="136">
        <v>2.5399999999999999E-2</v>
      </c>
      <c r="C11" s="136">
        <v>0.1249</v>
      </c>
      <c r="D11" s="136">
        <f>(0.2*(F11-F11*'TAX reduces gains by'!$Y$23))  +  (0.4*G11)  +  (0.4*(H11-H11*'TAX reduces gains by'!$Y$22))</f>
        <v>0.1062655682386269</v>
      </c>
      <c r="E11" s="141">
        <v>2826</v>
      </c>
      <c r="F11" s="136">
        <v>4.4299999999999999E-2</v>
      </c>
      <c r="G11" s="165">
        <v>-6.0499999999999998E-2</v>
      </c>
      <c r="H11" s="136">
        <v>0.35070000000000001</v>
      </c>
      <c r="I11" s="9">
        <v>7</v>
      </c>
      <c r="P11" s="9" t="s">
        <v>11</v>
      </c>
      <c r="T11" s="9" t="s">
        <v>11</v>
      </c>
    </row>
    <row r="12" spans="1:22" x14ac:dyDescent="0.25">
      <c r="A12" s="9">
        <v>2007</v>
      </c>
      <c r="B12" s="136">
        <v>4.0800000000000003E-2</v>
      </c>
      <c r="C12" s="165">
        <v>-0.16600000000000001</v>
      </c>
      <c r="D12" s="136">
        <f>(0.2*(F12-F12*'TAX reduces gains by'!$Y$23))  +  (0.4*G12)  +  (0.4*(H12))</f>
        <v>-0.16632980169971673</v>
      </c>
      <c r="E12" s="141">
        <v>2357</v>
      </c>
      <c r="F12" s="136">
        <v>3.4299999999999997E-2</v>
      </c>
      <c r="G12" s="165">
        <v>-0.26750000000000002</v>
      </c>
      <c r="H12" s="165">
        <v>-0.1646</v>
      </c>
      <c r="I12" s="9">
        <v>8</v>
      </c>
    </row>
    <row r="13" spans="1:22" x14ac:dyDescent="0.25">
      <c r="A13" s="9">
        <v>2008</v>
      </c>
      <c r="B13" s="136">
        <v>8.9999999999999998E-4</v>
      </c>
      <c r="C13" s="165">
        <v>-0.1618</v>
      </c>
      <c r="D13" s="136">
        <f>C13</f>
        <v>-0.1618</v>
      </c>
      <c r="E13" s="141">
        <v>1976</v>
      </c>
      <c r="F13" s="165">
        <v>-1.4E-3</v>
      </c>
      <c r="G13" s="165">
        <v>-3.3300000000000003E-2</v>
      </c>
      <c r="H13" s="165">
        <v>-0.3705</v>
      </c>
      <c r="I13" s="9">
        <v>9</v>
      </c>
    </row>
    <row r="14" spans="1:22" x14ac:dyDescent="0.25">
      <c r="A14" s="9">
        <v>2009</v>
      </c>
      <c r="B14" s="136">
        <v>2.7199999999999998E-2</v>
      </c>
      <c r="C14" s="136">
        <v>0.18110000000000001</v>
      </c>
      <c r="D14" s="136">
        <f>(0.2*(F14-F14*'TAX reduces gains by'!$Y$23))  +  (0.4*(G14-G14*'TAX reduces gains by'!$Y$20))  +  (0.4*(H14-H14*'TAX reduces gains by'!$Y$22))</f>
        <v>0.15623573371104815</v>
      </c>
      <c r="E14" s="141">
        <v>2333</v>
      </c>
      <c r="F14" s="136">
        <v>0.1022</v>
      </c>
      <c r="G14" s="136">
        <v>0.10589999999999999</v>
      </c>
      <c r="H14" s="136">
        <v>0.29580000000000001</v>
      </c>
      <c r="I14" s="9">
        <v>10</v>
      </c>
    </row>
    <row r="15" spans="1:22" x14ac:dyDescent="0.25">
      <c r="A15" s="9">
        <v>2010</v>
      </c>
      <c r="B15" s="136">
        <v>1.4999999999999999E-2</v>
      </c>
      <c r="C15" s="136">
        <v>0.1542</v>
      </c>
      <c r="D15" s="136">
        <f>(0.2*(F15-F15*'TAX reduces gains by'!$Y$23))  +  (0.4*(G15-G15*'TAX reduces gains by'!$Y$20))  +  (0.4*(H15-H15*'TAX reduces gains by'!$Y$22))</f>
        <v>0.13188187424318168</v>
      </c>
      <c r="E15" s="141">
        <v>2693</v>
      </c>
      <c r="F15" s="136">
        <v>2.1299999999999999E-2</v>
      </c>
      <c r="G15" s="136">
        <v>9.1700000000000004E-2</v>
      </c>
      <c r="H15" s="136">
        <v>0.28299999999999997</v>
      </c>
      <c r="I15" s="9">
        <v>11</v>
      </c>
    </row>
    <row r="16" spans="1:22" x14ac:dyDescent="0.25">
      <c r="A16" s="9">
        <v>2011</v>
      </c>
      <c r="B16" s="136">
        <v>2.9600000000000001E-2</v>
      </c>
      <c r="C16" s="136">
        <v>6.6699999999999995E-2</v>
      </c>
      <c r="D16" s="136">
        <f>(0.2*(F16-F16*'TAX reduces gains by'!$Y$23))  +  (0.4*(G16-G16*'TAX reduces gains by'!$Y$20))  +  (0.4*(H16-H16*'TAX reduces gains by'!$Y$22))</f>
        <v>5.8585845081375328E-2</v>
      </c>
      <c r="E16" s="141">
        <v>2873</v>
      </c>
      <c r="F16" s="136">
        <v>9.6199999999999994E-2</v>
      </c>
      <c r="G16" s="136">
        <v>3.39E-2</v>
      </c>
      <c r="H16" s="136">
        <v>8.4699999999999998E-2</v>
      </c>
      <c r="I16" s="9">
        <v>12</v>
      </c>
    </row>
    <row r="17" spans="1:12" x14ac:dyDescent="0.25">
      <c r="A17" s="9">
        <v>2012</v>
      </c>
      <c r="B17" s="136">
        <v>1.7399999999999999E-2</v>
      </c>
      <c r="C17" s="136">
        <v>0.25309999999999999</v>
      </c>
      <c r="D17" s="136">
        <f>(0.2*(F17-F17*'TAX reduces gains by'!$Y$23))  +  (0.4*(G17-G17*'TAX reduces gains by'!$Y$20))  +  (0.4*(H17-H17*'TAX reduces gains by'!$Y$22))</f>
        <v>0.20910997139365664</v>
      </c>
      <c r="E17" s="141">
        <v>3600</v>
      </c>
      <c r="F17" s="136">
        <v>5.7000000000000002E-2</v>
      </c>
      <c r="G17" s="136">
        <v>0.42899999999999999</v>
      </c>
      <c r="H17" s="136">
        <v>0.17530000000000001</v>
      </c>
      <c r="I17" s="9">
        <v>13</v>
      </c>
    </row>
    <row r="18" spans="1:12" x14ac:dyDescent="0.25">
      <c r="A18" s="9">
        <v>2013</v>
      </c>
      <c r="B18" s="136">
        <v>1.4999999999999999E-2</v>
      </c>
      <c r="C18" s="136">
        <v>0.17330000000000001</v>
      </c>
      <c r="D18" s="136">
        <f>(0.2*(F18))  +  (0.4*(G18-G18*'TAX reduces gains by'!$Y$20))  +  (0.4*(H18-H18*'TAX reduces gains by'!$Y$22))</f>
        <v>0.13864770588235295</v>
      </c>
      <c r="E18" s="141">
        <v>4223</v>
      </c>
      <c r="F18" s="165">
        <v>-1.5599999999999999E-2</v>
      </c>
      <c r="G18" s="136">
        <v>0.41789999999999999</v>
      </c>
      <c r="H18" s="136">
        <v>2.3099999999999999E-2</v>
      </c>
      <c r="I18" s="9">
        <v>14</v>
      </c>
    </row>
    <row r="19" spans="1:12" x14ac:dyDescent="0.25">
      <c r="A19" s="9">
        <v>2014</v>
      </c>
      <c r="B19" s="136">
        <v>7.6E-3</v>
      </c>
      <c r="C19" s="136">
        <v>0.29980000000000001</v>
      </c>
      <c r="D19" s="136">
        <f>(0.2*(F19-F19*'TAX reduces gains by'!$Y$23))  +  (0.4*(G19-G19*'TAX reduces gains by'!$Y$20))  +  (0.4*(H19-H19*'TAX reduces gains by'!$Y$22))</f>
        <v>0.25043283891573626</v>
      </c>
      <c r="E19" s="141">
        <v>5490</v>
      </c>
      <c r="F19" s="136">
        <v>7.2499999999999995E-2</v>
      </c>
      <c r="G19" s="136">
        <v>0.41189999999999999</v>
      </c>
      <c r="H19" s="136">
        <v>0.30130000000000001</v>
      </c>
      <c r="I19" s="9">
        <v>15</v>
      </c>
    </row>
    <row r="20" spans="1:12" x14ac:dyDescent="0.25">
      <c r="A20" s="9">
        <v>2015</v>
      </c>
      <c r="B20" s="136">
        <v>7.3000000000000001E-3</v>
      </c>
      <c r="C20" s="136">
        <v>6.3200000000000006E-2</v>
      </c>
      <c r="D20" s="136">
        <f>(0.2*(F20-F20*'TAX reduces gains by'!$Y$23))  +  (0.4*(G20-G20*'TAX reduces gains by'!$Y$20))  +  (0.4*(H20-H20*'TAX reduces gains by'!$Y$22))</f>
        <v>5.2002799200133315E-2</v>
      </c>
      <c r="E20" s="141">
        <v>5836</v>
      </c>
      <c r="F20" s="136">
        <v>2.86E-2</v>
      </c>
      <c r="G20" s="136">
        <v>0.12139999999999999</v>
      </c>
      <c r="H20" s="136">
        <v>2.2200000000000001E-2</v>
      </c>
      <c r="I20" s="9">
        <v>15</v>
      </c>
    </row>
    <row r="21" spans="1:12" x14ac:dyDescent="0.25">
      <c r="A21" s="9">
        <v>2016</v>
      </c>
      <c r="B21" s="136">
        <v>2.07E-2</v>
      </c>
      <c r="C21" s="136">
        <v>1.4E-2</v>
      </c>
      <c r="D21" s="136">
        <f>(0.2*(F21-F21*'TAX reduces gains by'!$Y$23))  +  (0.4*G21)  +  (0.4*(H21-H21*'TAX reduces gains by'!$Y$22))</f>
        <v>9.6983119480086588E-3</v>
      </c>
      <c r="E21" s="141">
        <v>5918</v>
      </c>
      <c r="F21" s="136">
        <v>8.0000000000000004E-4</v>
      </c>
      <c r="G21" s="165">
        <v>-4.87E-2</v>
      </c>
      <c r="H21" s="136">
        <v>8.3400000000000002E-2</v>
      </c>
      <c r="I21" s="9">
        <v>15</v>
      </c>
    </row>
    <row r="22" spans="1:12" x14ac:dyDescent="0.25">
      <c r="A22" s="9">
        <v>2017</v>
      </c>
      <c r="B22" s="136">
        <v>2.1100000000000001E-2</v>
      </c>
      <c r="C22" s="136">
        <v>0.16139999999999999</v>
      </c>
      <c r="D22" s="136">
        <f>(0.2*(F22-F22*'TAX reduces gains by'!$Y$23))  +  (0.4*(G22-G22*'TAX reduces gains by'!$Y$20))  +  (0.4*(H22-H22*'TAX reduces gains by'!$Y$22))</f>
        <v>0.1318083111148142</v>
      </c>
      <c r="E22" s="141">
        <v>6873</v>
      </c>
      <c r="F22" s="136">
        <v>4.53E-2</v>
      </c>
      <c r="G22" s="136">
        <v>0.33250000000000002</v>
      </c>
      <c r="H22" s="136">
        <v>4.8300000000000003E-2</v>
      </c>
      <c r="I22" s="9">
        <v>15</v>
      </c>
    </row>
    <row r="23" spans="1:12" x14ac:dyDescent="0.25">
      <c r="A23" s="9">
        <v>2018</v>
      </c>
      <c r="B23" s="136">
        <v>1.9099999999999999E-2</v>
      </c>
      <c r="C23" s="165">
        <v>-1.7000000000000001E-2</v>
      </c>
      <c r="D23" s="136">
        <f>(0.2*(F23-F23*'TAX reduces gains by'!$Y$23))  +  (0.4*(G23-G23*'TAX reduces gains by'!$Y$20))  +  (0.4*(H23))</f>
        <v>-1.816347875354108E-2</v>
      </c>
      <c r="E23" s="141">
        <v>6756</v>
      </c>
      <c r="F23" s="136">
        <v>1.2500000000000001E-2</v>
      </c>
      <c r="G23" s="136">
        <v>1.2200000000000001E-2</v>
      </c>
      <c r="H23" s="165">
        <v>-6.1100000000000002E-2</v>
      </c>
      <c r="I23" s="9">
        <v>15</v>
      </c>
    </row>
    <row r="24" spans="1:12" x14ac:dyDescent="0.25">
      <c r="A24" s="9">
        <v>2019</v>
      </c>
      <c r="B24" s="136">
        <v>2.29E-2</v>
      </c>
      <c r="C24" s="136">
        <v>0.25769999999999998</v>
      </c>
      <c r="D24" s="136">
        <f>(0.2*(F24-F24*'TAX reduces gains by'!$Y$23))  +  (0.4*(G24-G24*'TAX reduces gains by'!$Y$20))  +  (0.4*(H24-H24*'TAX reduces gains by'!$Y$22))</f>
        <v>0.21620224151530304</v>
      </c>
      <c r="E24" s="141">
        <v>8497</v>
      </c>
      <c r="F24" s="136">
        <v>6.7799999999999999E-2</v>
      </c>
      <c r="G24" s="136">
        <v>0.32240000000000002</v>
      </c>
      <c r="H24" s="136">
        <v>0.2878</v>
      </c>
      <c r="I24" s="9">
        <v>15</v>
      </c>
    </row>
    <row r="27" spans="1:12" ht="90" x14ac:dyDescent="0.25">
      <c r="A27" s="9" t="s">
        <v>0</v>
      </c>
      <c r="B27" s="9" t="s">
        <v>18</v>
      </c>
      <c r="C27" s="9" t="s">
        <v>2</v>
      </c>
      <c r="E27" s="9" t="s">
        <v>3</v>
      </c>
      <c r="F27" s="132" t="s">
        <v>35</v>
      </c>
      <c r="G27" s="132" t="s">
        <v>58</v>
      </c>
      <c r="H27" s="132" t="s">
        <v>65</v>
      </c>
    </row>
    <row r="28" spans="1:12" x14ac:dyDescent="0.25">
      <c r="A28" s="9" t="s">
        <v>20</v>
      </c>
      <c r="I28" s="9">
        <f>0.2*(F30-F30*0.05) +  0.4*(G30-G30*0.2)  +   0.4*(H30-H30*0.13)</f>
        <v>5.7209800000000005E-2</v>
      </c>
      <c r="J28" s="9" t="s">
        <v>168</v>
      </c>
      <c r="K28">
        <v>200000</v>
      </c>
      <c r="L28"/>
    </row>
    <row r="29" spans="1:12" x14ac:dyDescent="0.25">
      <c r="C29" s="136">
        <f>AVERAGE(C30:C89)</f>
        <v>9.1383333333333316E-3</v>
      </c>
      <c r="D29" s="136">
        <f>AVERAGE(D30:D89)</f>
        <v>1.0052666666666666E-2</v>
      </c>
      <c r="I29" s="136">
        <f>AVERAGE(I30:I89)</f>
        <v>4.4155669212538624E-3</v>
      </c>
      <c r="K29">
        <v>3333</v>
      </c>
      <c r="L29"/>
    </row>
    <row r="30" spans="1:12" x14ac:dyDescent="0.25">
      <c r="A30" s="9">
        <v>2008</v>
      </c>
      <c r="B30" s="9">
        <v>1</v>
      </c>
      <c r="C30" s="136">
        <v>7.0999999999999994E-2</v>
      </c>
      <c r="D30" s="136">
        <f>0.2*F30 +  0.4*G30  +   0.4*H30</f>
        <v>7.102E-2</v>
      </c>
      <c r="E30" s="141">
        <v>210865</v>
      </c>
      <c r="F30" s="136">
        <v>1.6299999999999999E-2</v>
      </c>
      <c r="G30" s="136">
        <v>0.17280000000000001</v>
      </c>
      <c r="H30" s="165">
        <v>-3.3999999999999998E-3</v>
      </c>
      <c r="I30" s="136">
        <f>(0.2*(F30-F30*'TAX reduces gains by'!$Y$23))  +  (0.4*(G30-G30*'TAX reduces gains by'!$Y$20))  +  (0.4*(H30))</f>
        <v>5.7029767705382442E-2</v>
      </c>
      <c r="K30">
        <f>K28-K29</f>
        <v>196667</v>
      </c>
      <c r="L30" s="6">
        <f>K30+(K30*I30)</f>
        <v>207882.87332531446</v>
      </c>
    </row>
    <row r="31" spans="1:12" x14ac:dyDescent="0.25">
      <c r="A31" s="9">
        <v>2008</v>
      </c>
      <c r="B31" s="9">
        <v>2</v>
      </c>
      <c r="C31" s="165">
        <v>-6.2399999999999997E-2</v>
      </c>
      <c r="D31" s="136">
        <f t="shared" ref="D31:D95" si="1">0.2*F31 +  0.4*G31  +   0.4*H31</f>
        <v>-6.0320000000000006E-2</v>
      </c>
      <c r="E31" s="141">
        <v>194377</v>
      </c>
      <c r="F31" s="165">
        <v>-4.0800000000000003E-2</v>
      </c>
      <c r="G31" s="165">
        <v>-9.3100000000000002E-2</v>
      </c>
      <c r="H31" s="165">
        <v>-3.73E-2</v>
      </c>
      <c r="I31" s="136">
        <f>(0.2*(F31)+(0.4*(G31)+(0.4*(H31))))</f>
        <v>-6.0320000000000006E-2</v>
      </c>
      <c r="K31" s="135">
        <f>L30-$K$29</f>
        <v>204549.87332531446</v>
      </c>
      <c r="L31" s="6">
        <f>K31+(K31*I31)</f>
        <v>192211.42496633148</v>
      </c>
    </row>
    <row r="32" spans="1:12" x14ac:dyDescent="0.25">
      <c r="A32" s="9">
        <v>2008</v>
      </c>
      <c r="B32" s="9">
        <v>3</v>
      </c>
      <c r="C32" s="136">
        <v>1.15E-2</v>
      </c>
      <c r="D32" s="136">
        <f t="shared" si="1"/>
        <v>1.3840000000000005E-2</v>
      </c>
      <c r="E32" s="141">
        <v>193280</v>
      </c>
      <c r="F32" s="136">
        <v>2.6200000000000001E-2</v>
      </c>
      <c r="G32" s="165">
        <v>-4.2999999999999997E-2</v>
      </c>
      <c r="H32" s="136">
        <v>6.4500000000000002E-2</v>
      </c>
      <c r="I32" s="136">
        <f>(0.2*(F32-F32*'TAX reduces gains by'!$Y$23))+(0.4*(G32)+(0.4*(H32-H32*'TAX reduces gains by'!$Y$22)))</f>
        <v>1.0221333944342608E-2</v>
      </c>
      <c r="K32" s="135">
        <f t="shared" ref="K32:K89" si="2">L31-$K$29</f>
        <v>188878.42496633148</v>
      </c>
      <c r="L32" s="6">
        <f t="shared" ref="L32:L95" si="3">K32+(K32*I32)</f>
        <v>190809.01442279381</v>
      </c>
    </row>
    <row r="33" spans="1:12" x14ac:dyDescent="0.25">
      <c r="A33" s="9">
        <v>2008</v>
      </c>
      <c r="B33" s="9">
        <v>4</v>
      </c>
      <c r="C33" s="136">
        <v>6.6100000000000006E-2</v>
      </c>
      <c r="D33" s="136">
        <f t="shared" si="1"/>
        <v>6.5979999999999997E-2</v>
      </c>
      <c r="E33" s="141">
        <v>202729</v>
      </c>
      <c r="F33" s="136">
        <v>8.6999999999999994E-3</v>
      </c>
      <c r="G33" s="136">
        <v>0.1017</v>
      </c>
      <c r="H33" s="136">
        <v>5.8900000000000001E-2</v>
      </c>
      <c r="I33" s="136">
        <f>(0.2*(F33-F33*'TAX reduces gains by'!$Y$23))  +  (0.4*(G33-G33*'TAX reduces gains by'!$Y$20))  +  (0.4*(H33-H33*'TAX reduces gains by'!$Y$22))</f>
        <v>5.4694784591456984E-2</v>
      </c>
      <c r="K33" s="135">
        <f t="shared" si="2"/>
        <v>187476.01442279381</v>
      </c>
      <c r="L33" s="6">
        <f t="shared" si="3"/>
        <v>197729.97464771342</v>
      </c>
    </row>
    <row r="34" spans="1:12" x14ac:dyDescent="0.25">
      <c r="A34" s="9">
        <v>2008</v>
      </c>
      <c r="B34" s="9">
        <v>5</v>
      </c>
      <c r="C34" s="165">
        <v>-1.7999999999999999E-2</v>
      </c>
      <c r="D34" s="136">
        <f t="shared" si="1"/>
        <v>-1.7180000000000001E-2</v>
      </c>
      <c r="E34" s="141">
        <v>195754</v>
      </c>
      <c r="F34" s="136">
        <v>5.7000000000000002E-3</v>
      </c>
      <c r="G34" s="165">
        <v>-4.7199999999999999E-2</v>
      </c>
      <c r="H34" s="136">
        <v>1.4E-3</v>
      </c>
      <c r="I34" s="136">
        <f>(0.2*(F34-F34*'TAX reduces gains by'!$Y$23))+(0.4*(G34)+(0.4*(H34-H34*'TAX reduces gains by'!$Y$22)))</f>
        <v>-1.731087540965395E-2</v>
      </c>
      <c r="K34" s="135">
        <f t="shared" si="2"/>
        <v>194396.97464771342</v>
      </c>
      <c r="L34" s="6">
        <f t="shared" si="3"/>
        <v>191031.7928395732</v>
      </c>
    </row>
    <row r="35" spans="1:12" x14ac:dyDescent="0.25">
      <c r="A35" s="9">
        <v>2008</v>
      </c>
      <c r="B35" s="9">
        <v>6</v>
      </c>
      <c r="C35" s="165">
        <v>-0.1002</v>
      </c>
      <c r="D35" s="136">
        <f t="shared" si="1"/>
        <v>-9.9299999999999999E-2</v>
      </c>
      <c r="E35" s="141">
        <v>172799</v>
      </c>
      <c r="F35" s="165">
        <v>-1.03E-2</v>
      </c>
      <c r="G35" s="165">
        <v>-0.13539999999999999</v>
      </c>
      <c r="H35" s="165">
        <v>-0.1077</v>
      </c>
      <c r="I35" s="136">
        <f>(0.2*(F35)+(0.4*(G35)+(0.4*(H35))))</f>
        <v>-9.9300000000000013E-2</v>
      </c>
      <c r="K35" s="135">
        <f t="shared" si="2"/>
        <v>187698.7928395732</v>
      </c>
      <c r="L35" s="6">
        <f t="shared" si="3"/>
        <v>169060.30271060357</v>
      </c>
    </row>
    <row r="36" spans="1:12" x14ac:dyDescent="0.25">
      <c r="A36" s="9">
        <v>2008</v>
      </c>
      <c r="B36" s="9">
        <v>7</v>
      </c>
      <c r="C36" s="136">
        <v>7.6E-3</v>
      </c>
      <c r="D36" s="136">
        <f t="shared" si="1"/>
        <v>7.1799999999999998E-3</v>
      </c>
      <c r="E36" s="141">
        <v>170777</v>
      </c>
      <c r="F36" s="136">
        <v>5.7000000000000002E-3</v>
      </c>
      <c r="G36" s="165">
        <v>-1.6400000000000001E-2</v>
      </c>
      <c r="H36" s="165">
        <v>3.15E-2</v>
      </c>
      <c r="I36" s="136">
        <f>(0.2*(F36-F36*'TAX reduces gains by'!$Y$23))+(0.4*(G36)+(0.4*(H36)))</f>
        <v>7.1218696883852683E-3</v>
      </c>
      <c r="K36" s="135">
        <f t="shared" si="2"/>
        <v>165727.30271060357</v>
      </c>
      <c r="L36" s="6">
        <f t="shared" si="3"/>
        <v>166907.59096431607</v>
      </c>
    </row>
    <row r="37" spans="1:12" x14ac:dyDescent="0.25">
      <c r="A37" s="9">
        <v>2008</v>
      </c>
      <c r="B37" s="9">
        <v>8</v>
      </c>
      <c r="C37" s="136">
        <v>9.1899999999999996E-2</v>
      </c>
      <c r="D37" s="136">
        <f t="shared" si="1"/>
        <v>9.64E-2</v>
      </c>
      <c r="E37" s="141">
        <v>183144</v>
      </c>
      <c r="F37" s="136">
        <v>1.18E-2</v>
      </c>
      <c r="G37" s="136">
        <v>0.21260000000000001</v>
      </c>
      <c r="H37" s="136">
        <v>2.2499999999999999E-2</v>
      </c>
      <c r="I37" s="136">
        <f>(0.2*(F37-F37*'TAX reduces gains by'!$Y$23))  +  (0.4*(G37-G37*'TAX reduces gains by'!$Y$20))  +  (0.4*(H37-H37*'TAX reduces gains by'!$Y$22))</f>
        <v>7.8102542409598408E-2</v>
      </c>
      <c r="K37" s="135">
        <f t="shared" si="2"/>
        <v>163574.59096431607</v>
      </c>
      <c r="L37" s="6">
        <f t="shared" si="3"/>
        <v>176350.18239223928</v>
      </c>
    </row>
    <row r="38" spans="1:12" x14ac:dyDescent="0.25">
      <c r="A38" s="9">
        <v>2008</v>
      </c>
      <c r="B38" s="9">
        <v>9</v>
      </c>
      <c r="C38" s="136">
        <v>-2.4199999999999999E-2</v>
      </c>
      <c r="D38" s="136">
        <f t="shared" si="1"/>
        <v>-2.3720000000000001E-2</v>
      </c>
      <c r="E38" s="141">
        <v>175381</v>
      </c>
      <c r="F38" s="165">
        <v>-3.9199999999999999E-2</v>
      </c>
      <c r="G38" s="165">
        <v>-3.8600000000000002E-2</v>
      </c>
      <c r="H38" s="165">
        <v>-1.1000000000000001E-3</v>
      </c>
      <c r="I38" s="136">
        <f>(0.2*(F38)+(0.4*(G38)+(0.4*(H38))))</f>
        <v>-2.3720000000000001E-2</v>
      </c>
      <c r="K38" s="135">
        <f t="shared" si="2"/>
        <v>173017.18239223928</v>
      </c>
      <c r="L38" s="6">
        <f t="shared" si="3"/>
        <v>168913.21482589535</v>
      </c>
    </row>
    <row r="39" spans="1:12" x14ac:dyDescent="0.25">
      <c r="A39" s="9">
        <v>2008</v>
      </c>
      <c r="B39" s="9">
        <v>10</v>
      </c>
      <c r="C39" s="165">
        <v>-0.15640000000000001</v>
      </c>
      <c r="D39" s="136">
        <f t="shared" si="1"/>
        <v>-0.15656000000000003</v>
      </c>
      <c r="E39" s="141">
        <v>144612</v>
      </c>
      <c r="F39" s="136">
        <v>1.1999999999999999E-3</v>
      </c>
      <c r="G39" s="165">
        <v>-7.9699999999999993E-2</v>
      </c>
      <c r="H39" s="165">
        <v>-0.31230000000000002</v>
      </c>
      <c r="I39" s="136">
        <f>(0.2*(F39-F39*'TAX reduces gains by'!$Y$23))+(0.4*(G39)+(0.4*(H39)))</f>
        <v>-0.15657223796033998</v>
      </c>
      <c r="K39" s="135">
        <f t="shared" si="2"/>
        <v>165580.21482589535</v>
      </c>
      <c r="L39" s="6">
        <f t="shared" si="3"/>
        <v>139654.95002865104</v>
      </c>
    </row>
    <row r="40" spans="1:12" x14ac:dyDescent="0.25">
      <c r="A40" s="9">
        <v>2008</v>
      </c>
      <c r="B40" s="9">
        <v>11</v>
      </c>
      <c r="C40" s="165">
        <v>-9.6699999999999994E-2</v>
      </c>
      <c r="D40" s="136">
        <f t="shared" si="1"/>
        <v>-0.11236</v>
      </c>
      <c r="E40" s="141">
        <v>127289</v>
      </c>
      <c r="F40" s="136">
        <v>1.8E-3</v>
      </c>
      <c r="G40" s="165">
        <v>-4.7899999999999998E-2</v>
      </c>
      <c r="H40" s="165">
        <v>-0.2339</v>
      </c>
      <c r="I40" s="136">
        <f>(0.2*(F40-F40*'TAX reduces gains by'!$Y$23))+(0.4*(G40)+(0.4*(H40)))</f>
        <v>-0.11237835694050992</v>
      </c>
      <c r="K40" s="135">
        <f t="shared" si="2"/>
        <v>136321.95002865104</v>
      </c>
      <c r="L40" s="6">
        <f t="shared" si="3"/>
        <v>121002.31326950494</v>
      </c>
    </row>
    <row r="41" spans="1:12" x14ac:dyDescent="0.25">
      <c r="A41" s="9">
        <v>2008</v>
      </c>
      <c r="B41" s="9">
        <v>12</v>
      </c>
      <c r="C41" s="136">
        <v>7.0900000000000005E-2</v>
      </c>
      <c r="D41" s="136">
        <f t="shared" si="1"/>
        <v>8.8980000000000004E-2</v>
      </c>
      <c r="E41" s="141">
        <v>132980</v>
      </c>
      <c r="F41" s="136">
        <v>1.3899999999999999E-2</v>
      </c>
      <c r="G41" s="136">
        <v>4.1599999999999998E-2</v>
      </c>
      <c r="H41" s="136">
        <v>0.1739</v>
      </c>
      <c r="I41" s="136">
        <f>(0.2*(F41-F41*'TAX reduces gains by'!$Y$23))  +  (0.4*(G41-G41*'TAX reduces gains by'!$Y$20))  +  (0.4*(H41-H41*'TAX reduces gains by'!$Y$22))</f>
        <v>7.6474263233905451E-2</v>
      </c>
      <c r="K41" s="135">
        <f t="shared" si="2"/>
        <v>117669.31326950494</v>
      </c>
      <c r="L41" s="6">
        <f t="shared" si="3"/>
        <v>126667.98730702995</v>
      </c>
    </row>
    <row r="42" spans="1:12" x14ac:dyDescent="0.25">
      <c r="A42" s="9">
        <v>2009</v>
      </c>
      <c r="B42" s="9">
        <v>1</v>
      </c>
      <c r="C42" s="165">
        <v>-0.121</v>
      </c>
      <c r="D42" s="136">
        <f t="shared" si="1"/>
        <v>-0.12101999999999999</v>
      </c>
      <c r="E42" s="141">
        <v>113550</v>
      </c>
      <c r="F42" s="136">
        <v>3.73E-2</v>
      </c>
      <c r="G42" s="165">
        <v>-0.14729999999999999</v>
      </c>
      <c r="H42" s="165">
        <v>-0.1739</v>
      </c>
      <c r="I42" s="136">
        <f>(0.2*(F42-F42*'TAX reduces gains by'!$Y$23))+(0.4*(G42)+(0.4*(H42)))</f>
        <v>-0.12140039660056655</v>
      </c>
      <c r="K42" s="135">
        <f t="shared" si="2"/>
        <v>123334.98730702995</v>
      </c>
      <c r="L42" s="6">
        <f t="shared" si="3"/>
        <v>108362.07093323067</v>
      </c>
    </row>
    <row r="43" spans="1:12" x14ac:dyDescent="0.25">
      <c r="A43" s="9">
        <v>2009</v>
      </c>
      <c r="B43" s="9">
        <v>2</v>
      </c>
      <c r="C43" s="165">
        <v>-0.13070000000000001</v>
      </c>
      <c r="D43" s="136">
        <f t="shared" si="1"/>
        <v>-0.13716</v>
      </c>
      <c r="E43" s="141">
        <v>95373</v>
      </c>
      <c r="F43" s="165">
        <v>-4.5999999999999999E-3</v>
      </c>
      <c r="G43" s="165">
        <v>-0.13300000000000001</v>
      </c>
      <c r="H43" s="165">
        <v>-0.20760000000000001</v>
      </c>
      <c r="I43" s="136">
        <f>(0.2*(F43)+(0.4*(G43)+(0.4*(H43))))</f>
        <v>-0.13716</v>
      </c>
      <c r="K43" s="135">
        <f t="shared" si="2"/>
        <v>105029.07093323067</v>
      </c>
      <c r="L43" s="6">
        <f t="shared" si="3"/>
        <v>90623.283564028752</v>
      </c>
    </row>
    <row r="44" spans="1:12" x14ac:dyDescent="0.25">
      <c r="A44" s="9">
        <v>2009</v>
      </c>
      <c r="B44" s="9">
        <v>3</v>
      </c>
      <c r="C44" s="136">
        <v>7.1199999999999999E-2</v>
      </c>
      <c r="D44" s="136">
        <f t="shared" si="1"/>
        <v>7.5480000000000005E-2</v>
      </c>
      <c r="E44" s="141">
        <v>98832</v>
      </c>
      <c r="F44" s="165">
        <v>-2E-3</v>
      </c>
      <c r="G44" s="136">
        <v>0.15210000000000001</v>
      </c>
      <c r="H44" s="136">
        <v>3.7600000000000001E-2</v>
      </c>
      <c r="I44" s="136">
        <f>(0.2*(F44)+(0.4*(G44-G44*'TAX reduces gains by'!$Y$20))+(0.4*(H44-H44*'TAX reduces gains by'!$Y$22)))</f>
        <v>6.1358274509803926E-2</v>
      </c>
      <c r="K44" s="135">
        <f t="shared" si="2"/>
        <v>87290.283564028752</v>
      </c>
      <c r="L44" s="6">
        <f t="shared" si="3"/>
        <v>92646.26474498905</v>
      </c>
    </row>
    <row r="45" spans="1:12" x14ac:dyDescent="0.25">
      <c r="A45" s="9">
        <v>2009</v>
      </c>
      <c r="B45" s="9">
        <v>4</v>
      </c>
      <c r="C45" s="136">
        <v>0.1847</v>
      </c>
      <c r="D45" s="136">
        <f t="shared" si="1"/>
        <v>0.2021</v>
      </c>
      <c r="E45" s="141">
        <v>113755</v>
      </c>
      <c r="F45" s="136">
        <v>1.7899999999999999E-2</v>
      </c>
      <c r="G45" s="136">
        <v>0.1832</v>
      </c>
      <c r="H45" s="136">
        <v>0.31309999999999999</v>
      </c>
      <c r="I45" s="136">
        <f>(0.2*(F45-F45*'TAX reduces gains by'!$Y$23))  +  (0.4*(G45-G45*'TAX reduces gains by'!$Y$20))  +  (0.4*(H45-H45*'TAX reduces gains by'!$Y$22))</f>
        <v>0.17099252885630173</v>
      </c>
      <c r="K45" s="135">
        <f t="shared" si="2"/>
        <v>89313.26474498905</v>
      </c>
      <c r="L45" s="6">
        <f t="shared" si="3"/>
        <v>104585.1657441471</v>
      </c>
    </row>
    <row r="46" spans="1:12" x14ac:dyDescent="0.25">
      <c r="A46" s="9">
        <v>2009</v>
      </c>
      <c r="B46" s="9">
        <v>5</v>
      </c>
      <c r="C46" s="165">
        <v>-3.7600000000000001E-2</v>
      </c>
      <c r="D46" s="136">
        <f t="shared" si="1"/>
        <v>-3.5159999999999997E-2</v>
      </c>
      <c r="E46" s="141">
        <v>106144</v>
      </c>
      <c r="F46" s="136">
        <v>8.6E-3</v>
      </c>
      <c r="G46" s="165">
        <v>-0.1158</v>
      </c>
      <c r="H46" s="136">
        <v>2.3599999999999999E-2</v>
      </c>
      <c r="I46" s="136">
        <f>(0.2*(F46-F46*'TAX reduces gains by'!$Y$23))+(0.4*(G46)+(0.4*(H46-H46*'TAX reduces gains by'!$Y$22)))</f>
        <v>-3.6473979892240181E-2</v>
      </c>
      <c r="K46" s="135">
        <f t="shared" si="2"/>
        <v>101252.1657441471</v>
      </c>
      <c r="L46" s="6">
        <f t="shared" si="3"/>
        <v>97559.096286749307</v>
      </c>
    </row>
    <row r="47" spans="1:12" x14ac:dyDescent="0.25">
      <c r="A47" s="9">
        <v>2009</v>
      </c>
      <c r="B47" s="9">
        <v>6</v>
      </c>
      <c r="C47" s="165">
        <v>-6.8999999999999999E-3</v>
      </c>
      <c r="D47" s="136">
        <f t="shared" si="1"/>
        <v>-6.5399999999999998E-3</v>
      </c>
      <c r="E47" s="141">
        <v>102080</v>
      </c>
      <c r="F47" s="165">
        <v>-9.7000000000000003E-3</v>
      </c>
      <c r="G47" s="136">
        <v>2.1000000000000001E-2</v>
      </c>
      <c r="H47" s="165">
        <v>-3.2500000000000001E-2</v>
      </c>
      <c r="I47" s="136">
        <f>(0.2*(F47))  +  (0.4*(G47-G47*'TAX reduces gains by'!$Y$20))  +  (0.4*(H47))</f>
        <v>-8.2199999999999999E-3</v>
      </c>
      <c r="K47" s="135">
        <f t="shared" si="2"/>
        <v>94226.096286749307</v>
      </c>
      <c r="L47" s="6">
        <f t="shared" si="3"/>
        <v>93451.557775272231</v>
      </c>
    </row>
    <row r="48" spans="1:12" x14ac:dyDescent="0.25">
      <c r="A48" s="9">
        <v>2009</v>
      </c>
      <c r="B48" s="9">
        <v>7</v>
      </c>
      <c r="C48" s="136">
        <v>0.10829999999999999</v>
      </c>
      <c r="D48" s="136">
        <f t="shared" si="1"/>
        <v>0.11106000000000001</v>
      </c>
      <c r="E48" s="141">
        <v>109806</v>
      </c>
      <c r="F48" s="136">
        <v>1.7899999999999999E-2</v>
      </c>
      <c r="G48" s="136">
        <v>0.1623</v>
      </c>
      <c r="H48" s="136">
        <v>0.10639999999999999</v>
      </c>
      <c r="I48" s="136">
        <f>(0.2*(F48-F48*'TAX reduces gains by'!$Y$23))  +  (0.4*(G48-G48*'TAX reduces gains by'!$Y$20))  +  (0.4*(H48-H48*'TAX reduces gains by'!$Y$22))</f>
        <v>9.2364822973948796E-2</v>
      </c>
      <c r="K48" s="135">
        <f t="shared" si="2"/>
        <v>90118.557775272231</v>
      </c>
      <c r="L48" s="6">
        <f t="shared" si="3"/>
        <v>98442.342410852827</v>
      </c>
    </row>
    <row r="49" spans="1:12" x14ac:dyDescent="0.25">
      <c r="A49" s="9">
        <v>2009</v>
      </c>
      <c r="B49" s="9">
        <v>8</v>
      </c>
      <c r="C49" s="136">
        <v>3.8199999999999998E-2</v>
      </c>
      <c r="D49" s="136">
        <f t="shared" si="1"/>
        <v>4.1340000000000002E-2</v>
      </c>
      <c r="E49" s="141">
        <v>110665</v>
      </c>
      <c r="F49" s="136">
        <v>1.23E-2</v>
      </c>
      <c r="G49" s="165">
        <v>-4.2700000000000002E-2</v>
      </c>
      <c r="H49" s="136">
        <v>0.1399</v>
      </c>
      <c r="I49" s="136">
        <f>(0.2*(F49-F49*'TAX reduces gains by'!$Y$23))+(0.4*(G49)+(0.4*(H49-H49*'TAX reduces gains by'!$Y$22)))</f>
        <v>3.3945247181025373E-2</v>
      </c>
      <c r="K49" s="135">
        <f t="shared" si="2"/>
        <v>95109.342410852827</v>
      </c>
      <c r="L49" s="6">
        <f t="shared" si="3"/>
        <v>98337.85254821401</v>
      </c>
    </row>
    <row r="50" spans="1:12" x14ac:dyDescent="0.25">
      <c r="A50" s="9">
        <v>2009</v>
      </c>
      <c r="B50" s="9">
        <v>9</v>
      </c>
      <c r="C50" s="136">
        <v>2.41E-2</v>
      </c>
      <c r="D50" s="136">
        <f t="shared" si="1"/>
        <v>2.2360000000000005E-2</v>
      </c>
      <c r="E50" s="141">
        <v>110002</v>
      </c>
      <c r="F50" s="136">
        <v>0.03</v>
      </c>
      <c r="G50" s="165">
        <v>-2.5999999999999999E-2</v>
      </c>
      <c r="H50" s="136">
        <v>6.6900000000000001E-2</v>
      </c>
      <c r="I50" s="136">
        <f>(0.2*(F50-F50*'TAX reduces gains by'!$Y$23))+(0.4*(G50)+(0.4*(H50-H50*'TAX reduces gains by'!$Y$22)))</f>
        <v>1.8577874520913182E-2</v>
      </c>
      <c r="K50" s="135">
        <f t="shared" si="2"/>
        <v>95004.85254821401</v>
      </c>
      <c r="L50" s="6">
        <f t="shared" si="3"/>
        <v>96769.840777732592</v>
      </c>
    </row>
    <row r="51" spans="1:12" x14ac:dyDescent="0.25">
      <c r="A51" s="9">
        <v>2009</v>
      </c>
      <c r="B51" s="9">
        <v>10</v>
      </c>
      <c r="C51" s="165">
        <v>-4.6899999999999997E-2</v>
      </c>
      <c r="D51" s="136">
        <f t="shared" si="1"/>
        <v>-4.7539999999999999E-2</v>
      </c>
      <c r="E51" s="141">
        <v>101514</v>
      </c>
      <c r="F51" s="165">
        <v>-2.1700000000000001E-2</v>
      </c>
      <c r="G51" s="165">
        <v>-6.1600000000000002E-2</v>
      </c>
      <c r="H51" s="165">
        <v>-4.6399999999999997E-2</v>
      </c>
      <c r="I51" s="136">
        <f>(0.2*(F51)+(0.4*(G51)+(0.4*(H51))))</f>
        <v>-4.7539999999999999E-2</v>
      </c>
      <c r="K51" s="135">
        <f t="shared" si="2"/>
        <v>93436.840777732592</v>
      </c>
      <c r="L51" s="6">
        <f t="shared" si="3"/>
        <v>88994.853367159187</v>
      </c>
    </row>
    <row r="52" spans="1:12" x14ac:dyDescent="0.25">
      <c r="A52" s="9">
        <v>2009</v>
      </c>
      <c r="B52" s="9">
        <v>11</v>
      </c>
      <c r="C52" s="136">
        <v>7.2900000000000006E-2</v>
      </c>
      <c r="D52" s="136">
        <f t="shared" si="1"/>
        <v>7.5460000000000013E-2</v>
      </c>
      <c r="E52" s="141">
        <v>105579</v>
      </c>
      <c r="F52" s="136">
        <v>1.1299999999999999E-2</v>
      </c>
      <c r="G52" s="136">
        <v>0.1145</v>
      </c>
      <c r="H52" s="136">
        <v>6.8500000000000005E-2</v>
      </c>
      <c r="I52" s="136">
        <f>(0.2*(F52-F52*'TAX reduces gains by'!$Y$23))  +  (0.4*(G52-G52*'TAX reduces gains by'!$Y$20))  +  (0.4*(H52-H52*'TAX reduces gains by'!$Y$22))</f>
        <v>6.2625445481308661E-2</v>
      </c>
      <c r="K52" s="135">
        <f t="shared" si="2"/>
        <v>85661.853367159187</v>
      </c>
      <c r="L52" s="6">
        <f t="shared" si="3"/>
        <v>91026.465095032065</v>
      </c>
    </row>
    <row r="53" spans="1:12" x14ac:dyDescent="0.25">
      <c r="A53" s="9">
        <v>2009</v>
      </c>
      <c r="B53" s="9">
        <v>12</v>
      </c>
      <c r="C53" s="136">
        <v>5.7599999999999998E-2</v>
      </c>
      <c r="D53" s="136">
        <f t="shared" si="1"/>
        <v>5.7420000000000006E-2</v>
      </c>
      <c r="E53" s="141">
        <v>108326</v>
      </c>
      <c r="F53" s="136">
        <v>1.6999999999999999E-3</v>
      </c>
      <c r="G53" s="136">
        <v>7.2400000000000006E-2</v>
      </c>
      <c r="H53" s="136">
        <v>7.0300000000000001E-2</v>
      </c>
      <c r="I53" s="136">
        <f>(0.2*(F53-F53*'TAX reduces gains by'!$Y$23))  +  (0.4*(G53-G53*'TAX reduces gains by'!$Y$20))  +  (0.4*(H53-H53*'TAX reduces gains by'!$Y$22))</f>
        <v>4.7957819752263514E-2</v>
      </c>
      <c r="K53" s="135">
        <f t="shared" si="2"/>
        <v>87693.465095032065</v>
      </c>
      <c r="L53" s="6">
        <f t="shared" si="3"/>
        <v>91899.052487511028</v>
      </c>
    </row>
    <row r="54" spans="1:12" x14ac:dyDescent="0.25">
      <c r="A54" s="9">
        <v>2010</v>
      </c>
      <c r="B54" s="9">
        <v>1</v>
      </c>
      <c r="C54" s="165">
        <v>-4.8500000000000001E-2</v>
      </c>
      <c r="D54" s="136">
        <f t="shared" si="1"/>
        <v>-4.8520000000000001E-2</v>
      </c>
      <c r="E54" s="141">
        <v>99736</v>
      </c>
      <c r="F54" s="136">
        <v>5.4000000000000003E-3</v>
      </c>
      <c r="G54" s="136">
        <v>-7.0800000000000002E-2</v>
      </c>
      <c r="H54" s="165">
        <v>-5.3199999999999997E-2</v>
      </c>
      <c r="I54" s="136">
        <f>(0.2*(F54-F54*'TAX reduces gains by'!$Y$23))  +  (0.4*(G54-G54*'TAX reduces gains by'!$Y$20))  +  (0.4*(H54))</f>
        <v>-4.2911070821529743E-2</v>
      </c>
      <c r="K54" s="135">
        <f t="shared" si="2"/>
        <v>88566.052487511028</v>
      </c>
      <c r="L54" s="6">
        <f t="shared" si="3"/>
        <v>84765.588336836125</v>
      </c>
    </row>
    <row r="55" spans="1:12" x14ac:dyDescent="0.25">
      <c r="A55" s="9">
        <v>2010</v>
      </c>
      <c r="B55" s="9">
        <v>2</v>
      </c>
      <c r="C55" s="136">
        <v>6.13E-2</v>
      </c>
      <c r="D55" s="136">
        <f t="shared" si="1"/>
        <v>6.2179999999999999E-2</v>
      </c>
      <c r="E55" s="141">
        <v>102514</v>
      </c>
      <c r="F55" s="136">
        <v>9.4999999999999998E-3</v>
      </c>
      <c r="G55" s="136">
        <v>9.5200000000000007E-2</v>
      </c>
      <c r="H55" s="136">
        <v>5.5500000000000001E-2</v>
      </c>
      <c r="I55" s="136">
        <f>(0.2*(F55-F55*'TAX reduces gains by'!$Y$23))  +  (0.4*(G55-G55*'TAX reduces gains by'!$Y$20))  +  (0.4*(H55-H55*'TAX reduces gains by'!$Y$22))</f>
        <v>5.1583292617897021E-2</v>
      </c>
      <c r="K55" s="135">
        <f t="shared" si="2"/>
        <v>81432.588336836125</v>
      </c>
      <c r="L55" s="6">
        <f t="shared" si="3"/>
        <v>85633.149369647886</v>
      </c>
    </row>
    <row r="56" spans="1:12" x14ac:dyDescent="0.25">
      <c r="A56" s="9">
        <v>2010</v>
      </c>
      <c r="B56" s="9">
        <v>3</v>
      </c>
      <c r="C56" s="136">
        <v>4.7500000000000001E-2</v>
      </c>
      <c r="D56" s="136">
        <f t="shared" si="1"/>
        <v>4.7880000000000006E-2</v>
      </c>
      <c r="E56" s="141">
        <v>104052</v>
      </c>
      <c r="F56" s="165">
        <v>-7.1999999999999998E-3</v>
      </c>
      <c r="G56" s="136">
        <v>2.24E-2</v>
      </c>
      <c r="H56" s="136">
        <v>0.1009</v>
      </c>
      <c r="I56" s="136">
        <f>(0.2*(F56))  +  (0.4*(G56-G56*'TAX reduces gains by'!$Y$20))  +  (0.4*(H56-H56*'TAX reduces gains by'!$Y$22))</f>
        <v>4.0845156862745091E-2</v>
      </c>
      <c r="K56" s="135">
        <f t="shared" si="2"/>
        <v>82300.149369647886</v>
      </c>
      <c r="L56" s="6">
        <f t="shared" si="3"/>
        <v>85661.711880478513</v>
      </c>
    </row>
    <row r="57" spans="1:12" x14ac:dyDescent="0.25">
      <c r="A57" s="9">
        <v>2010</v>
      </c>
      <c r="B57" s="9">
        <v>4</v>
      </c>
      <c r="C57" s="136">
        <v>7.9799999999999996E-2</v>
      </c>
      <c r="D57" s="136">
        <f t="shared" si="1"/>
        <v>7.9500000000000001E-2</v>
      </c>
      <c r="E57" s="141">
        <v>109018</v>
      </c>
      <c r="F57" s="136">
        <v>1.0500000000000001E-2</v>
      </c>
      <c r="G57" s="136">
        <v>0.1226</v>
      </c>
      <c r="H57" s="136">
        <v>7.0900000000000005E-2</v>
      </c>
      <c r="I57" s="136">
        <f>(0.2*(F57-F57*'TAX reduces gains by'!$Y$23))  +  (0.4*(G57-G57*'TAX reduces gains by'!$Y$20))  +  (0.4*(H57-H57*'TAX reduces gains by'!$Y$22))</f>
        <v>6.5900898239182354E-2</v>
      </c>
      <c r="K57" s="135">
        <f t="shared" si="2"/>
        <v>82328.711880478513</v>
      </c>
      <c r="L57" s="6">
        <f t="shared" si="3"/>
        <v>87754.247944276896</v>
      </c>
    </row>
    <row r="58" spans="1:12" x14ac:dyDescent="0.25">
      <c r="A58" s="9">
        <v>2010</v>
      </c>
      <c r="B58" s="9">
        <v>5</v>
      </c>
      <c r="C58" s="165">
        <v>-5.67E-2</v>
      </c>
      <c r="D58" s="136">
        <f t="shared" si="1"/>
        <v>-5.5080000000000004E-2</v>
      </c>
      <c r="E58" s="141">
        <v>99499</v>
      </c>
      <c r="F58" s="136">
        <v>7.6E-3</v>
      </c>
      <c r="G58" s="165">
        <v>-8.7400000000000005E-2</v>
      </c>
      <c r="H58" s="165">
        <v>-5.4100000000000002E-2</v>
      </c>
      <c r="I58" s="136">
        <f>(0.2*(F58-F58*'TAX reduces gains by'!$Y$23))+(0.4*(G58)+(0.4*(H58)))</f>
        <v>-5.5157507082152987E-2</v>
      </c>
      <c r="K58" s="135">
        <f t="shared" si="2"/>
        <v>84421.247944276896</v>
      </c>
      <c r="L58" s="6">
        <f t="shared" si="3"/>
        <v>79764.782362906248</v>
      </c>
    </row>
    <row r="59" spans="1:12" x14ac:dyDescent="0.25">
      <c r="A59" s="9">
        <v>2010</v>
      </c>
      <c r="B59" s="9">
        <v>6</v>
      </c>
      <c r="C59" s="165">
        <v>-9.0899999999999995E-2</v>
      </c>
      <c r="D59" s="136">
        <f t="shared" si="1"/>
        <v>-9.0900000000000009E-2</v>
      </c>
      <c r="E59" s="141">
        <v>87122</v>
      </c>
      <c r="F59" s="136">
        <v>1E-4</v>
      </c>
      <c r="G59" s="165">
        <v>-0.1749</v>
      </c>
      <c r="H59" s="165">
        <v>-5.2400000000000002E-2</v>
      </c>
      <c r="I59" s="136">
        <f>(0.2*(F59-F59*'TAX reduces gains by'!$Y$23))+(0.4*(G59)+(0.4*(H59)))</f>
        <v>-9.0901019830028337E-2</v>
      </c>
      <c r="K59" s="135">
        <f t="shared" si="2"/>
        <v>76431.782362906248</v>
      </c>
      <c r="L59" s="6">
        <f t="shared" si="3"/>
        <v>69484.0553986913</v>
      </c>
    </row>
    <row r="60" spans="1:12" x14ac:dyDescent="0.25">
      <c r="A60" s="9">
        <v>2010</v>
      </c>
      <c r="B60" s="9">
        <v>7</v>
      </c>
      <c r="C60" s="136">
        <v>5.2400000000000002E-2</v>
      </c>
      <c r="D60" s="136">
        <f t="shared" si="1"/>
        <v>5.0120000000000005E-2</v>
      </c>
      <c r="E60" s="141">
        <v>88355</v>
      </c>
      <c r="F60" s="136">
        <v>1.34E-2</v>
      </c>
      <c r="G60" s="136">
        <v>2.1299999999999999E-2</v>
      </c>
      <c r="H60" s="136">
        <v>9.7299999999999998E-2</v>
      </c>
      <c r="I60" s="136">
        <f>(0.2*(F60-F60*'TAX reduces gains by'!$Y$23))  +  (0.4*(G60-G60*'TAX reduces gains by'!$Y$20))  +  (0.4*(H60-H60*'TAX reduces gains by'!$Y$22))</f>
        <v>4.3223558462478467E-2</v>
      </c>
      <c r="K60" s="135">
        <f t="shared" si="2"/>
        <v>66151.0553986913</v>
      </c>
      <c r="L60" s="6">
        <f t="shared" si="3"/>
        <v>69010.339409071283</v>
      </c>
    </row>
    <row r="61" spans="1:12" x14ac:dyDescent="0.25">
      <c r="A61" s="9">
        <v>2010</v>
      </c>
      <c r="B61" s="9">
        <v>8</v>
      </c>
      <c r="C61" s="165">
        <v>-8.6E-3</v>
      </c>
      <c r="D61" s="136">
        <f t="shared" si="1"/>
        <v>-9.1600000000000015E-3</v>
      </c>
      <c r="E61" s="141">
        <v>84263</v>
      </c>
      <c r="F61" s="136">
        <v>2.3400000000000001E-2</v>
      </c>
      <c r="G61" s="165">
        <v>-2.2200000000000001E-2</v>
      </c>
      <c r="H61" s="165">
        <v>-1.24E-2</v>
      </c>
      <c r="I61" s="136">
        <f>(0.2*(F61-F61*'TAX reduces gains by'!$Y$23))+(0.4*(G61)+(0.4*(H61)))</f>
        <v>-9.398640226628896E-3</v>
      </c>
      <c r="K61" s="135">
        <f t="shared" si="2"/>
        <v>65677.339409071283</v>
      </c>
      <c r="L61" s="6">
        <f t="shared" si="3"/>
        <v>65060.061724923224</v>
      </c>
    </row>
    <row r="62" spans="1:12" x14ac:dyDescent="0.25">
      <c r="A62" s="9">
        <v>2010</v>
      </c>
      <c r="B62" s="9">
        <v>9</v>
      </c>
      <c r="C62" s="136">
        <v>5.28E-2</v>
      </c>
      <c r="D62" s="136">
        <f t="shared" si="1"/>
        <v>5.6260000000000004E-2</v>
      </c>
      <c r="E62" s="141">
        <v>85375</v>
      </c>
      <c r="F62" s="136">
        <v>-4.3E-3</v>
      </c>
      <c r="G62" s="136">
        <v>9.9099999999999994E-2</v>
      </c>
      <c r="H62" s="136">
        <v>4.3700000000000003E-2</v>
      </c>
      <c r="I62" s="136">
        <f>(0.2*(F62-F62*'TAX reduces gains by'!$Y$23))  +  (0.4*(G62-G62*'TAX reduces gains by'!$Y$20))  +  (0.4*(H62-H62*'TAX reduces gains by'!$Y$22))</f>
        <v>4.6105166416708324E-2</v>
      </c>
      <c r="K62" s="135">
        <f t="shared" si="2"/>
        <v>61727.061724923224</v>
      </c>
      <c r="L62" s="6">
        <f t="shared" si="3"/>
        <v>64572.998178165239</v>
      </c>
    </row>
    <row r="63" spans="1:12" x14ac:dyDescent="0.25">
      <c r="A63" s="9">
        <v>2010</v>
      </c>
      <c r="B63" s="9">
        <v>10</v>
      </c>
      <c r="C63" s="136">
        <v>7.1000000000000004E-3</v>
      </c>
      <c r="D63" s="136">
        <f t="shared" si="1"/>
        <v>3.4600000000000013E-3</v>
      </c>
      <c r="E63" s="141">
        <v>82650</v>
      </c>
      <c r="F63" s="165">
        <v>-3.5000000000000001E-3</v>
      </c>
      <c r="G63" s="165">
        <v>-3.7600000000000001E-2</v>
      </c>
      <c r="H63" s="136">
        <v>4.8000000000000001E-2</v>
      </c>
      <c r="I63" s="136">
        <f>(0.2*(F63))  +  (0.4*(G63))  +  (0.4*(H63-H63*'TAX reduces gains by'!$Y$22))</f>
        <v>9.6588235294117405E-4</v>
      </c>
      <c r="K63" s="135">
        <f t="shared" si="2"/>
        <v>61239.998178165239</v>
      </c>
      <c r="L63" s="6">
        <f t="shared" si="3"/>
        <v>61299.148811699677</v>
      </c>
    </row>
    <row r="64" spans="1:12" x14ac:dyDescent="0.25">
      <c r="A64" s="9">
        <v>2010</v>
      </c>
      <c r="B64" s="9">
        <v>11</v>
      </c>
      <c r="C64" s="136">
        <v>8.9999999999999993E-3</v>
      </c>
      <c r="D64" s="136">
        <f t="shared" si="1"/>
        <v>1.3840000000000002E-2</v>
      </c>
      <c r="E64" s="141">
        <v>80063</v>
      </c>
      <c r="F64" s="165">
        <v>-1.7399999999999999E-2</v>
      </c>
      <c r="G64" s="136">
        <v>6.3700000000000007E-2</v>
      </c>
      <c r="H64" s="165">
        <v>-2.0400000000000001E-2</v>
      </c>
      <c r="I64" s="136">
        <f>(0.2*(F64))  +  (0.4*(G64-G64*'TAX reduces gains by'!$Y$20))  +  (0.4*(H64))</f>
        <v>8.7440000000000018E-3</v>
      </c>
      <c r="K64" s="135">
        <f t="shared" si="2"/>
        <v>57966.148811699677</v>
      </c>
      <c r="L64" s="6">
        <f t="shared" si="3"/>
        <v>58473.004816909182</v>
      </c>
    </row>
    <row r="65" spans="1:12" x14ac:dyDescent="0.25">
      <c r="A65" s="9">
        <v>2010</v>
      </c>
      <c r="B65" s="9">
        <v>12</v>
      </c>
      <c r="C65" s="136">
        <v>5.5800000000000002E-2</v>
      </c>
      <c r="D65" s="136">
        <f t="shared" si="1"/>
        <v>5.7360000000000008E-2</v>
      </c>
      <c r="E65" s="141">
        <v>81196</v>
      </c>
      <c r="F65" s="165">
        <v>-1.54E-2</v>
      </c>
      <c r="G65" s="136">
        <v>0.1048</v>
      </c>
      <c r="H65" s="136">
        <v>4.6300000000000001E-2</v>
      </c>
      <c r="I65" s="136">
        <f>(0.2*(F65))  +  (0.4*(G65-G65*'TAX reduces gains by'!$Y$20))  +  (0.4*(H65-H65*'TAX reduces gains by'!$Y$22))</f>
        <v>4.6570215686274508E-2</v>
      </c>
      <c r="K65" s="135">
        <f t="shared" si="2"/>
        <v>55140.004816909182</v>
      </c>
      <c r="L65" s="6">
        <f t="shared" si="3"/>
        <v>57707.886734174856</v>
      </c>
    </row>
    <row r="66" spans="1:12" x14ac:dyDescent="0.25">
      <c r="A66" s="9">
        <v>2011</v>
      </c>
      <c r="B66" s="9">
        <v>1</v>
      </c>
      <c r="C66" s="136">
        <v>9.1999999999999998E-3</v>
      </c>
      <c r="D66" s="136">
        <f t="shared" si="1"/>
        <v>9.2399999999999999E-3</v>
      </c>
      <c r="E66" s="141">
        <v>78613</v>
      </c>
      <c r="F66" s="165">
        <v>-6.6E-3</v>
      </c>
      <c r="G66" s="165">
        <v>-6.7999999999999996E-3</v>
      </c>
      <c r="H66" s="136">
        <v>3.32E-2</v>
      </c>
      <c r="I66" s="136">
        <f>(0.2*(F66))  +  (0.4*(G66))  +  (0.4*(H66-H66*'TAX reduces gains by'!$Y$22))</f>
        <v>7.5149019607843124E-3</v>
      </c>
      <c r="K66" s="135">
        <f t="shared" si="2"/>
        <v>54374.886734174856</v>
      </c>
      <c r="L66" s="6">
        <f t="shared" si="3"/>
        <v>54783.508677110935</v>
      </c>
    </row>
    <row r="67" spans="1:12" x14ac:dyDescent="0.25">
      <c r="A67" s="9">
        <v>2011</v>
      </c>
      <c r="B67" s="9">
        <v>2</v>
      </c>
      <c r="C67" s="136">
        <v>4.3499999999999997E-2</v>
      </c>
      <c r="D67" s="136">
        <f t="shared" si="1"/>
        <v>4.342E-2</v>
      </c>
      <c r="E67" s="141">
        <v>78698</v>
      </c>
      <c r="F67" s="136">
        <v>1.5100000000000001E-2</v>
      </c>
      <c r="G67" s="136">
        <v>5.5199999999999999E-2</v>
      </c>
      <c r="H67" s="136">
        <v>4.58E-2</v>
      </c>
      <c r="I67" s="136">
        <f>(0.2*(F67-F67*'TAX reduces gains by'!$Y$23))  +  (0.4*(G67-G67*'TAX reduces gains by'!$Y$20))  +  (0.4*(H67-H67*'TAX reduces gains by'!$Y$22))</f>
        <v>3.6470201744153753E-2</v>
      </c>
      <c r="K67" s="135">
        <f t="shared" si="2"/>
        <v>51450.508677110935</v>
      </c>
      <c r="L67" s="6">
        <f t="shared" si="3"/>
        <v>53326.919108404501</v>
      </c>
    </row>
    <row r="68" spans="1:12" x14ac:dyDescent="0.25">
      <c r="A68" s="9">
        <v>2011</v>
      </c>
      <c r="B68" s="9">
        <v>3</v>
      </c>
      <c r="C68" s="165">
        <v>-2.5000000000000001E-3</v>
      </c>
      <c r="D68" s="136">
        <f t="shared" si="1"/>
        <v>-2.3599999999999997E-3</v>
      </c>
      <c r="E68" s="141">
        <v>75170</v>
      </c>
      <c r="F68" s="165">
        <v>-2.8E-3</v>
      </c>
      <c r="G68" s="136">
        <v>9.9000000000000008E-3</v>
      </c>
      <c r="H68" s="165">
        <v>-1.44E-2</v>
      </c>
      <c r="I68" s="136">
        <f>(0.2*(F68))  +  (0.4*(G68-G68*'TAX reduces gains by'!$Y$20))  +  (0.4*(H68))</f>
        <v>-3.1520000000000003E-3</v>
      </c>
      <c r="K68" s="135">
        <f t="shared" si="2"/>
        <v>49993.919108404501</v>
      </c>
      <c r="L68" s="6">
        <f t="shared" si="3"/>
        <v>49836.338275374808</v>
      </c>
    </row>
    <row r="69" spans="1:12" x14ac:dyDescent="0.25">
      <c r="A69" s="9">
        <v>2011</v>
      </c>
      <c r="B69" s="9">
        <v>4</v>
      </c>
      <c r="C69" s="136">
        <v>2.4899999999999999E-2</v>
      </c>
      <c r="D69" s="136">
        <f t="shared" si="1"/>
        <v>2.4760000000000001E-2</v>
      </c>
      <c r="E69" s="141">
        <v>73711</v>
      </c>
      <c r="F69" s="136">
        <v>1.6E-2</v>
      </c>
      <c r="G69" s="165">
        <v>-2.7000000000000001E-3</v>
      </c>
      <c r="H69" s="136">
        <v>5.6599999999999998E-2</v>
      </c>
      <c r="I69" s="136">
        <f>(0.2*(F69-F69*'TAX reduces gains by'!$Y$23))+(0.4*(G69)+(0.4*(H69-H69*'TAX reduces gains by'!$Y$22)))</f>
        <v>2.1655846803310556E-2</v>
      </c>
      <c r="K69" s="135">
        <f t="shared" si="2"/>
        <v>46503.338275374808</v>
      </c>
      <c r="L69" s="6">
        <f t="shared" si="3"/>
        <v>47510.407444908851</v>
      </c>
    </row>
    <row r="70" spans="1:12" x14ac:dyDescent="0.25">
      <c r="A70" s="9">
        <v>2011</v>
      </c>
      <c r="B70" s="9">
        <v>5</v>
      </c>
      <c r="C70" s="165">
        <v>-2.3E-2</v>
      </c>
      <c r="D70" s="136">
        <f t="shared" si="1"/>
        <v>-2.3699999999999999E-2</v>
      </c>
      <c r="E70" s="141">
        <v>68686</v>
      </c>
      <c r="F70" s="136">
        <v>1.5100000000000001E-2</v>
      </c>
      <c r="G70" s="165">
        <v>-8.0399999999999999E-2</v>
      </c>
      <c r="H70" s="136">
        <v>1.3599999999999999E-2</v>
      </c>
      <c r="I70" s="136">
        <f>(0.2*(F70-F70*'TAX reduces gains by'!$Y$23))+(0.4*(G70)+(0.4*(H70-H70*'TAX reduces gains by'!$Y$22)))</f>
        <v>-2.4560661000944287E-2</v>
      </c>
      <c r="K70" s="135">
        <f t="shared" si="2"/>
        <v>44177.407444908851</v>
      </c>
      <c r="L70" s="6">
        <f t="shared" si="3"/>
        <v>43092.381116753852</v>
      </c>
    </row>
    <row r="71" spans="1:12" x14ac:dyDescent="0.25">
      <c r="A71" s="9">
        <v>2011</v>
      </c>
      <c r="B71" s="9">
        <v>6</v>
      </c>
      <c r="C71" s="165">
        <v>-2.6599999999999999E-2</v>
      </c>
      <c r="D71" s="136">
        <f t="shared" si="1"/>
        <v>-2.6560000000000004E-2</v>
      </c>
      <c r="E71" s="141">
        <v>63525</v>
      </c>
      <c r="F71" s="136">
        <v>3.0000000000000001E-3</v>
      </c>
      <c r="G71" s="165">
        <v>-3.44E-2</v>
      </c>
      <c r="H71" s="165">
        <v>-3.3500000000000002E-2</v>
      </c>
      <c r="I71" s="136">
        <f>(0.2*(F71-F71*'TAX reduces gains by'!$Y$23))+(0.4*(G71)+(0.4*(H71)))</f>
        <v>-2.6590594900849862E-2</v>
      </c>
      <c r="K71" s="135">
        <f t="shared" si="2"/>
        <v>39759.381116753852</v>
      </c>
      <c r="L71" s="6">
        <f t="shared" si="3"/>
        <v>38702.155519969747</v>
      </c>
    </row>
    <row r="72" spans="1:12" x14ac:dyDescent="0.25">
      <c r="A72" s="9">
        <v>2011</v>
      </c>
      <c r="B72" s="9">
        <v>7</v>
      </c>
      <c r="C72" s="165">
        <v>-1.6400000000000001E-2</v>
      </c>
      <c r="D72" s="136">
        <f t="shared" si="1"/>
        <v>-1.9260000000000003E-2</v>
      </c>
      <c r="E72" s="141">
        <v>59150</v>
      </c>
      <c r="F72" s="136">
        <v>9.7000000000000003E-3</v>
      </c>
      <c r="G72" s="165">
        <v>-6.8500000000000005E-2</v>
      </c>
      <c r="H72" s="136">
        <v>1.55E-2</v>
      </c>
      <c r="I72" s="136">
        <f>(0.2*(F72-F72*'TAX reduces gains by'!$Y$23))+(0.4*(G72)+(0.4*(H72-H72*'TAX reduces gains by'!$Y$22)))</f>
        <v>-2.0164315669610626E-2</v>
      </c>
      <c r="K72" s="135">
        <f t="shared" si="2"/>
        <v>35369.155519969747</v>
      </c>
      <c r="L72" s="6">
        <f t="shared" si="3"/>
        <v>34655.960703097524</v>
      </c>
    </row>
    <row r="73" spans="1:12" x14ac:dyDescent="0.25">
      <c r="A73" s="9">
        <v>2011</v>
      </c>
      <c r="B73" s="9">
        <v>8</v>
      </c>
      <c r="C73" s="165">
        <v>-4.82E-2</v>
      </c>
      <c r="D73" s="136">
        <f t="shared" si="1"/>
        <v>-4.9920000000000006E-2</v>
      </c>
      <c r="E73" s="141">
        <v>52969</v>
      </c>
      <c r="F73" s="136">
        <v>1.4E-2</v>
      </c>
      <c r="G73" s="165">
        <v>-7.6499999999999999E-2</v>
      </c>
      <c r="H73" s="165">
        <v>-5.5300000000000002E-2</v>
      </c>
      <c r="I73" s="136">
        <f>(0.2*(F73-F73*'TAX reduces gains by'!$Y$23))+(0.4*(G73)+(0.4*(H73)))</f>
        <v>-5.0062776203966007E-2</v>
      </c>
      <c r="K73" s="135">
        <f t="shared" si="2"/>
        <v>31322.960703097524</v>
      </c>
      <c r="L73" s="6">
        <f t="shared" si="3"/>
        <v>29754.84633137273</v>
      </c>
    </row>
    <row r="74" spans="1:12" x14ac:dyDescent="0.25">
      <c r="A74" s="9">
        <v>2011</v>
      </c>
      <c r="B74" s="9">
        <v>9</v>
      </c>
      <c r="C74" s="165">
        <v>-5.7000000000000002E-2</v>
      </c>
      <c r="D74" s="136">
        <f t="shared" si="1"/>
        <v>-5.4460000000000001E-2</v>
      </c>
      <c r="E74" s="141">
        <v>46618</v>
      </c>
      <c r="F74" s="136">
        <v>6.4999999999999997E-3</v>
      </c>
      <c r="G74" s="165">
        <v>-2.9600000000000001E-2</v>
      </c>
      <c r="H74" s="165">
        <v>-0.10979999999999999</v>
      </c>
      <c r="I74" s="136">
        <f>(0.2*(F74-F74*'TAX reduces gains by'!$Y$23))+(0.4*(G74)+(0.4*(H74)))</f>
        <v>-5.4526288951841362E-2</v>
      </c>
      <c r="K74" s="135">
        <f t="shared" si="2"/>
        <v>26421.84633137273</v>
      </c>
      <c r="L74" s="6">
        <f t="shared" si="3"/>
        <v>24981.161103667149</v>
      </c>
    </row>
    <row r="75" spans="1:12" x14ac:dyDescent="0.25">
      <c r="A75" s="9">
        <v>2011</v>
      </c>
      <c r="B75" s="9">
        <v>10</v>
      </c>
      <c r="C75" s="136">
        <v>9.1700000000000004E-2</v>
      </c>
      <c r="D75" s="136">
        <f t="shared" si="1"/>
        <v>9.4520000000000007E-2</v>
      </c>
      <c r="E75" s="141">
        <v>47559</v>
      </c>
      <c r="F75" s="165">
        <v>-3.5999999999999999E-3</v>
      </c>
      <c r="G75" s="136">
        <v>9.4200000000000006E-2</v>
      </c>
      <c r="H75" s="136">
        <v>0.1439</v>
      </c>
      <c r="I75" s="136">
        <f>(0.2*(F75))  +  (0.4*(G75-G75*'TAX reduces gains by'!$Y$20))  +  (0.4*(H75-H75*'TAX reduces gains by'!$Y$22))</f>
        <v>7.9506843137254896E-2</v>
      </c>
      <c r="K75" s="135">
        <f t="shared" si="2"/>
        <v>21648.161103667149</v>
      </c>
      <c r="L75" s="6">
        <f t="shared" si="3"/>
        <v>23369.338052746436</v>
      </c>
    </row>
    <row r="76" spans="1:12" x14ac:dyDescent="0.25">
      <c r="A76" s="9">
        <v>2011</v>
      </c>
      <c r="B76" s="9">
        <v>11</v>
      </c>
      <c r="C76" s="136">
        <v>3.4500000000000003E-2</v>
      </c>
      <c r="D76" s="136">
        <f t="shared" si="1"/>
        <v>4.326E-2</v>
      </c>
      <c r="E76" s="141">
        <v>45867</v>
      </c>
      <c r="F76" s="136">
        <v>6.4999999999999997E-3</v>
      </c>
      <c r="G76" s="136">
        <v>0.14219999999999999</v>
      </c>
      <c r="H76" s="165">
        <v>-3.73E-2</v>
      </c>
      <c r="I76" s="136">
        <f>(0.2*(F76-F76*'TAX reduces gains by'!$Y$23))  +  (0.4*(G76-G76*'TAX reduces gains by'!$Y$20))  +  (0.4*(H76))</f>
        <v>3.1817711048158642E-2</v>
      </c>
      <c r="K76" s="135">
        <f t="shared" si="2"/>
        <v>20036.338052746436</v>
      </c>
      <c r="L76" s="6">
        <f t="shared" si="3"/>
        <v>20673.848467371947</v>
      </c>
    </row>
    <row r="77" spans="1:12" x14ac:dyDescent="0.25">
      <c r="A77" s="9">
        <v>2011</v>
      </c>
      <c r="B77" s="9">
        <v>12</v>
      </c>
      <c r="C77" s="136">
        <v>4.4699999999999997E-2</v>
      </c>
      <c r="D77" s="136">
        <f t="shared" si="1"/>
        <v>4.5200000000000004E-2</v>
      </c>
      <c r="E77" s="141">
        <v>44584</v>
      </c>
      <c r="F77" s="136">
        <v>1.9599999999999999E-2</v>
      </c>
      <c r="G77" s="136">
        <v>5.7099999999999998E-2</v>
      </c>
      <c r="H77" s="136">
        <v>4.6100000000000002E-2</v>
      </c>
      <c r="I77" s="136">
        <f>(0.2*(F77-F77*'TAX reduces gains by'!$Y$23))  +  (0.4*(G77-G77*'TAX reduces gains by'!$Y$20))  +  (0.4*(H77-H77*'TAX reduces gains by'!$Y$22))</f>
        <v>3.8036721157584844E-2</v>
      </c>
      <c r="K77" s="135">
        <f t="shared" si="2"/>
        <v>17340.848467371947</v>
      </c>
      <c r="L77" s="6">
        <f t="shared" si="3"/>
        <v>18000.437485161307</v>
      </c>
    </row>
    <row r="78" spans="1:12" s="87" customFormat="1" x14ac:dyDescent="0.25">
      <c r="A78" s="87">
        <v>2012</v>
      </c>
      <c r="B78" s="87">
        <v>1</v>
      </c>
      <c r="C78" s="154">
        <v>5.5500000000000001E-2</v>
      </c>
      <c r="D78" s="136">
        <f t="shared" si="1"/>
        <v>5.5480000000000002E-2</v>
      </c>
      <c r="E78" s="155">
        <v>43725</v>
      </c>
      <c r="F78" s="154">
        <v>2.1999999999999999E-2</v>
      </c>
      <c r="G78" s="154">
        <v>6.2799999999999995E-2</v>
      </c>
      <c r="H78" s="154">
        <v>6.4899999999999999E-2</v>
      </c>
      <c r="I78" s="136">
        <f>(0.2*(F78-F78*'TAX reduces gains by'!$Y$23))  +  (0.4*(G78-G78*'TAX reduces gains by'!$Y$20))  +  (0.4*(H78-H78*'TAX reduces gains by'!$Y$22))</f>
        <v>4.685938249180692E-2</v>
      </c>
      <c r="K78" s="135">
        <f t="shared" si="2"/>
        <v>14667.437485161307</v>
      </c>
      <c r="L78" s="6">
        <f t="shared" si="3"/>
        <v>15354.744548453147</v>
      </c>
    </row>
    <row r="79" spans="1:12" x14ac:dyDescent="0.25">
      <c r="A79" s="9">
        <v>2012</v>
      </c>
      <c r="B79" s="9">
        <v>2</v>
      </c>
      <c r="C79" s="136">
        <v>1.8700000000000001E-2</v>
      </c>
      <c r="D79" s="136">
        <f t="shared" si="1"/>
        <v>1.8579999999999999E-2</v>
      </c>
      <c r="E79" s="141">
        <v>41209</v>
      </c>
      <c r="F79" s="165">
        <v>-2.9999999999999997E-4</v>
      </c>
      <c r="G79" s="136">
        <v>5.7799999999999997E-2</v>
      </c>
      <c r="H79" s="165">
        <v>-1.12E-2</v>
      </c>
      <c r="I79" s="136">
        <f>(0.2*(F79))  +  (0.4*(G79-G79*'TAX reduces gains by'!$Y$20))  +  (0.4*(H79))</f>
        <v>1.3955999999999996E-2</v>
      </c>
      <c r="K79" s="135">
        <f t="shared" si="2"/>
        <v>12021.744548453147</v>
      </c>
      <c r="L79" s="6">
        <f t="shared" si="3"/>
        <v>12189.520015371359</v>
      </c>
    </row>
    <row r="80" spans="1:12" x14ac:dyDescent="0.25">
      <c r="A80" s="9">
        <v>2012</v>
      </c>
      <c r="B80" s="9">
        <v>3</v>
      </c>
      <c r="C80" s="136">
        <v>6.2600000000000003E-2</v>
      </c>
      <c r="D80" s="136">
        <f t="shared" si="1"/>
        <v>6.1000000000000006E-2</v>
      </c>
      <c r="E80" s="141">
        <v>40455</v>
      </c>
      <c r="F80" s="165">
        <v>-9.1999999999999998E-3</v>
      </c>
      <c r="G80" s="136">
        <v>0.1057</v>
      </c>
      <c r="H80" s="136">
        <v>5.1400000000000001E-2</v>
      </c>
      <c r="I80" s="136">
        <f>(0.2*(F80)+(0.4*(G80-G80*'TAX reduces gains by'!$Y$20))+(0.4*(H80-H80*'TAX reduces gains by'!$Y$22)))</f>
        <v>4.9873215686274508E-2</v>
      </c>
      <c r="K80" s="135">
        <f t="shared" si="2"/>
        <v>8856.5200153713595</v>
      </c>
      <c r="L80" s="6">
        <f t="shared" si="3"/>
        <v>9298.2231483277828</v>
      </c>
    </row>
    <row r="81" spans="1:12" x14ac:dyDescent="0.25">
      <c r="A81" s="9">
        <v>2012</v>
      </c>
      <c r="B81" s="9">
        <v>4</v>
      </c>
      <c r="C81" s="136">
        <v>1.6400000000000001E-2</v>
      </c>
      <c r="D81" s="136">
        <f t="shared" si="1"/>
        <v>1.6720000000000002E-2</v>
      </c>
      <c r="E81" s="141">
        <v>37784</v>
      </c>
      <c r="F81" s="136">
        <v>1.12E-2</v>
      </c>
      <c r="G81" s="136">
        <v>7.4000000000000003E-3</v>
      </c>
      <c r="H81" s="136">
        <v>2.8799999999999999E-2</v>
      </c>
      <c r="I81" s="136">
        <f>(0.2*(F81-F81*'TAX reduces gains by'!$Y$23))  +  (0.4*(G81-G81*'TAX reduces gains by'!$Y$20))  +  (0.4*(H81-H81*'TAX reduces gains by'!$Y$22))</f>
        <v>1.4517308448591899E-2</v>
      </c>
      <c r="K81" s="135">
        <f t="shared" si="2"/>
        <v>5965.2231483277828</v>
      </c>
      <c r="L81" s="6">
        <f t="shared" si="3"/>
        <v>6051.8221327367373</v>
      </c>
    </row>
    <row r="82" spans="1:12" x14ac:dyDescent="0.25">
      <c r="A82" s="9">
        <v>2012</v>
      </c>
      <c r="B82" s="9">
        <v>5</v>
      </c>
      <c r="C82" s="165">
        <v>-8.1900000000000001E-2</v>
      </c>
      <c r="D82" s="136">
        <f t="shared" si="1"/>
        <v>-7.7380000000000004E-2</v>
      </c>
      <c r="E82" s="141">
        <v>31356</v>
      </c>
      <c r="F82" s="136">
        <v>6.8999999999999999E-3</v>
      </c>
      <c r="G82" s="165">
        <v>-0.15090000000000001</v>
      </c>
      <c r="H82" s="165">
        <v>-4.5999999999999999E-2</v>
      </c>
      <c r="I82" s="136">
        <f>(0.2*(F82-F82*'TAX reduces gains by'!$Y$23))+(0.4*(G82)+(0.4*(H82)))</f>
        <v>-7.7450368271954673E-2</v>
      </c>
      <c r="K82" s="135">
        <f t="shared" si="2"/>
        <v>2718.8221327367373</v>
      </c>
      <c r="L82" s="6">
        <f t="shared" si="3"/>
        <v>2508.2483572903357</v>
      </c>
    </row>
    <row r="83" spans="1:12" x14ac:dyDescent="0.25">
      <c r="A83" s="9">
        <v>2012</v>
      </c>
      <c r="B83" s="9">
        <v>6</v>
      </c>
      <c r="C83" s="136">
        <v>4.8399999999999999E-2</v>
      </c>
      <c r="D83" s="136">
        <f t="shared" si="1"/>
        <v>4.7980000000000002E-2</v>
      </c>
      <c r="E83" s="141">
        <v>29540</v>
      </c>
      <c r="F83" s="165">
        <v>-1.6999999999999999E-3</v>
      </c>
      <c r="G83" s="136">
        <v>6.4399999999999999E-2</v>
      </c>
      <c r="H83" s="136">
        <v>5.6399999999999999E-2</v>
      </c>
      <c r="I83" s="136">
        <f>(0.2*(F83)+(0.4*(G83-G83*'TAX reduces gains by'!$Y$20))+(0.4*(H83-H83*'TAX reduces gains by'!$Y$22)))</f>
        <v>3.9897411764705883E-2</v>
      </c>
      <c r="K83" s="135">
        <f t="shared" si="2"/>
        <v>-824.75164270966434</v>
      </c>
      <c r="L83" s="109">
        <f t="shared" si="3"/>
        <v>-857.65709860246943</v>
      </c>
    </row>
    <row r="84" spans="1:12" x14ac:dyDescent="0.25">
      <c r="A84" s="9">
        <v>2012</v>
      </c>
      <c r="B84" s="9">
        <v>7</v>
      </c>
      <c r="C84" s="165">
        <v>-3.1E-2</v>
      </c>
      <c r="D84" s="136">
        <f t="shared" si="1"/>
        <v>-3.0460000000000004E-2</v>
      </c>
      <c r="E84" s="141">
        <v>25291</v>
      </c>
      <c r="F84" s="136">
        <v>1.3899999999999999E-2</v>
      </c>
      <c r="G84" s="165">
        <v>-0.1024</v>
      </c>
      <c r="H84" s="136">
        <v>1.9300000000000001E-2</v>
      </c>
      <c r="I84" s="136">
        <f>(0.2*(F84-F84*'TAX reduces gains by'!$Y$23))  +  (0.4*(G84))  +  (0.4*(H84-H84*'TAX reduces gains by'!$Y$22))</f>
        <v>-3.1604599511192578E-2</v>
      </c>
      <c r="K84" s="135">
        <f t="shared" si="2"/>
        <v>-4190.657098602469</v>
      </c>
      <c r="L84" s="6">
        <f t="shared" si="3"/>
        <v>-4058.2130593124016</v>
      </c>
    </row>
    <row r="85" spans="1:12" x14ac:dyDescent="0.25">
      <c r="A85" s="9">
        <v>2012</v>
      </c>
      <c r="B85" s="9">
        <v>8</v>
      </c>
      <c r="C85" s="136">
        <v>4.58E-2</v>
      </c>
      <c r="D85" s="136">
        <f t="shared" si="1"/>
        <v>4.8840000000000001E-2</v>
      </c>
      <c r="E85" s="141">
        <v>23115</v>
      </c>
      <c r="F85" s="136">
        <v>1.8E-3</v>
      </c>
      <c r="G85" s="136">
        <v>0.1226</v>
      </c>
      <c r="H85" s="136">
        <v>-1.4E-3</v>
      </c>
      <c r="I85" s="136">
        <f>(0.2*(F85-F85*'TAX reduces gains by'!$Y$23))  +  (0.4*(G85-G85*'TAX reduces gains by'!$Y$20))  +  (0.4*(H85-H85*'TAX reduces gains by'!$Y$22))</f>
        <v>3.9086388157529302E-2</v>
      </c>
      <c r="K85" s="135">
        <f t="shared" si="2"/>
        <v>-7391.213059312402</v>
      </c>
      <c r="L85" s="6">
        <f t="shared" si="3"/>
        <v>-7680.1088819036859</v>
      </c>
    </row>
    <row r="86" spans="1:12" x14ac:dyDescent="0.25">
      <c r="A86" s="9">
        <v>2012</v>
      </c>
      <c r="B86" s="9">
        <v>9</v>
      </c>
      <c r="C86" s="136">
        <v>1.8599999999999998E-2</v>
      </c>
      <c r="D86" s="136">
        <f t="shared" si="1"/>
        <v>1.8720000000000001E-2</v>
      </c>
      <c r="E86" s="141">
        <v>20211</v>
      </c>
      <c r="F86" s="136">
        <v>6.6E-3</v>
      </c>
      <c r="G86" s="136">
        <v>6.1800000000000001E-2</v>
      </c>
      <c r="H86" s="165">
        <v>-1.83E-2</v>
      </c>
      <c r="I86" s="136">
        <f>(0.2*(F86-F86*'TAX reduces gains by'!$Y$23))  +  (0.4*(G86-G86*'TAX reduces gains by'!$Y$20))  +  (0.4*(H86))</f>
        <v>1.3708691218130314E-2</v>
      </c>
      <c r="K86" s="135">
        <f t="shared" si="2"/>
        <v>-11013.108881903685</v>
      </c>
      <c r="L86" s="6">
        <f t="shared" si="3"/>
        <v>-11164.08419091735</v>
      </c>
    </row>
    <row r="87" spans="1:12" x14ac:dyDescent="0.25">
      <c r="A87" s="9">
        <v>2012</v>
      </c>
      <c r="B87" s="9">
        <v>10</v>
      </c>
      <c r="C87" s="136">
        <v>2.8899999999999999E-2</v>
      </c>
      <c r="D87" s="136">
        <f t="shared" si="1"/>
        <v>2.7439999999999999E-2</v>
      </c>
      <c r="E87" s="141">
        <v>17463</v>
      </c>
      <c r="F87" s="136">
        <v>1.8E-3</v>
      </c>
      <c r="G87" s="136">
        <v>7.5999999999999998E-2</v>
      </c>
      <c r="H87" s="165">
        <v>-8.3000000000000001E-3</v>
      </c>
      <c r="I87" s="136">
        <f>(0.2*(F87-F87*'TAX reduces gains by'!$Y$23))  +  (0.4*(G87-G87*'TAX reduces gains by'!$Y$20))  +  (0.4*(H87))</f>
        <v>2.1341643059490087E-2</v>
      </c>
      <c r="K87" s="135">
        <f t="shared" si="2"/>
        <v>-14497.08419091735</v>
      </c>
      <c r="L87" s="6">
        <f t="shared" si="3"/>
        <v>-14806.475787123285</v>
      </c>
    </row>
    <row r="88" spans="1:12" x14ac:dyDescent="0.25">
      <c r="A88" s="9">
        <v>2012</v>
      </c>
      <c r="B88" s="9">
        <v>11</v>
      </c>
      <c r="C88" s="136">
        <v>5.1499999999999997E-2</v>
      </c>
      <c r="D88" s="136">
        <f t="shared" si="1"/>
        <v>4.734E-2</v>
      </c>
      <c r="E88" s="141">
        <v>15030</v>
      </c>
      <c r="F88" s="136">
        <v>1.49E-2</v>
      </c>
      <c r="G88" s="136">
        <v>0.11459999999999999</v>
      </c>
      <c r="H88" s="165">
        <v>-3.7000000000000002E-3</v>
      </c>
      <c r="I88" s="136">
        <f>(0.2*(F88-F88*'TAX reduces gains by'!$Y$23))  +  (0.4*(G88-G88*'TAX reduces gains by'!$Y$20))  +  (0.4*(H88))</f>
        <v>3.8020045325779038E-2</v>
      </c>
      <c r="K88" s="135">
        <f t="shared" si="2"/>
        <v>-18139.475787123287</v>
      </c>
      <c r="L88" s="6">
        <f t="shared" si="3"/>
        <v>-18829.139478735586</v>
      </c>
    </row>
    <row r="89" spans="1:12" x14ac:dyDescent="0.25">
      <c r="A89" s="156">
        <v>2012</v>
      </c>
      <c r="B89" s="156">
        <v>12</v>
      </c>
      <c r="C89" s="157">
        <v>4.0000000000000001E-3</v>
      </c>
      <c r="D89" s="136">
        <f t="shared" si="1"/>
        <v>6.0600000000000011E-3</v>
      </c>
      <c r="E89" s="158">
        <v>11757</v>
      </c>
      <c r="F89" s="165">
        <v>-1.1900000000000001E-2</v>
      </c>
      <c r="G89" s="165">
        <v>-1.5800000000000002E-2</v>
      </c>
      <c r="H89" s="157">
        <v>3.6900000000000002E-2</v>
      </c>
      <c r="I89" s="136">
        <f>(0.2*(F89))  +  (0.4*(G89))  +  (0.4*(H89-H89*'TAX reduces gains by'!$Y$22))</f>
        <v>4.1426470588235269E-3</v>
      </c>
      <c r="K89" s="135">
        <f t="shared" si="2"/>
        <v>-22162.139478735586</v>
      </c>
      <c r="L89" s="6">
        <f t="shared" si="3"/>
        <v>-22253.949400664405</v>
      </c>
    </row>
    <row r="90" spans="1:12" x14ac:dyDescent="0.25">
      <c r="A90" s="159" t="s">
        <v>21</v>
      </c>
      <c r="B90" s="159"/>
      <c r="C90" s="159"/>
      <c r="D90" s="136" t="s">
        <v>36</v>
      </c>
      <c r="E90" s="159"/>
      <c r="F90" s="159"/>
      <c r="L90" s="6">
        <f t="shared" si="3"/>
        <v>0</v>
      </c>
    </row>
    <row r="91" spans="1:12" x14ac:dyDescent="0.25">
      <c r="A91" s="159" t="s">
        <v>0</v>
      </c>
      <c r="B91" s="159" t="s">
        <v>18</v>
      </c>
      <c r="C91" s="160" t="s">
        <v>2</v>
      </c>
      <c r="D91" s="136" t="e">
        <f t="shared" si="1"/>
        <v>#VALUE!</v>
      </c>
      <c r="E91" s="161" t="s">
        <v>3</v>
      </c>
      <c r="F91" s="160" t="s">
        <v>35</v>
      </c>
      <c r="G91" s="136" t="s">
        <v>58</v>
      </c>
      <c r="H91" s="136" t="s">
        <v>65</v>
      </c>
      <c r="K91">
        <v>200000</v>
      </c>
      <c r="L91"/>
    </row>
    <row r="92" spans="1:12" x14ac:dyDescent="0.25">
      <c r="A92" s="159" t="s">
        <v>20</v>
      </c>
      <c r="B92" s="159"/>
      <c r="C92" s="160"/>
      <c r="D92" s="136">
        <f t="shared" si="1"/>
        <v>0</v>
      </c>
      <c r="E92" s="161"/>
      <c r="F92" s="160"/>
      <c r="G92" s="136"/>
      <c r="H92" s="136"/>
      <c r="K92">
        <v>3333</v>
      </c>
      <c r="L92"/>
    </row>
    <row r="93" spans="1:12" x14ac:dyDescent="0.25">
      <c r="A93" s="159"/>
      <c r="B93" s="159"/>
      <c r="C93" s="160">
        <f>AVERAGE(C94:C153)</f>
        <v>7.984999999999999E-3</v>
      </c>
      <c r="D93" s="160">
        <f>AVERAGE(D94:D153)</f>
        <v>8.3296666666666675E-3</v>
      </c>
      <c r="E93" s="161"/>
      <c r="F93" s="185">
        <f>AVERAGE(F94:F153)</f>
        <v>2.558333333333333E-3</v>
      </c>
      <c r="G93" s="185">
        <f t="shared" ref="G93:H93" si="4">AVERAGE(G94:G153)</f>
        <v>1.3110000000000002E-2</v>
      </c>
      <c r="H93" s="185">
        <f t="shared" si="4"/>
        <v>6.4349999999999997E-3</v>
      </c>
      <c r="I93" s="136">
        <f>(0.2*(F93-F93*'TAX reduces gains by'!$Y$23))  +  (0.4*(G93-G93*'TAX reduces gains by'!$Y$20))  +  (0.4*(H93-H93*'TAX reduces gains by'!$Y$22))</f>
        <v>6.9204083680497689E-3</v>
      </c>
      <c r="K93">
        <f>K91-K92</f>
        <v>196667</v>
      </c>
      <c r="L93" s="6">
        <f>K93+(K93*I93)</f>
        <v>198028.01595251926</v>
      </c>
    </row>
    <row r="94" spans="1:12" x14ac:dyDescent="0.25">
      <c r="A94" s="159">
        <v>2015</v>
      </c>
      <c r="B94" s="159">
        <v>1</v>
      </c>
      <c r="C94" s="160">
        <v>2.52E-2</v>
      </c>
      <c r="D94" s="136">
        <f t="shared" si="1"/>
        <v>2.5180000000000001E-2</v>
      </c>
      <c r="E94" s="161">
        <v>201707</v>
      </c>
      <c r="F94" s="185">
        <v>1.5100000000000001E-2</v>
      </c>
      <c r="G94" s="186">
        <v>-1.18E-2</v>
      </c>
      <c r="H94" s="185">
        <v>6.7199999999999996E-2</v>
      </c>
      <c r="I94" s="136">
        <f>(0.2*(F94-F94*'TAX reduces gains by'!$Y$23))  +  (0.4*(G94))  +  (0.4*(H94-H94*'TAX reduces gains by'!$Y$22))</f>
        <v>2.1534240959840023E-2</v>
      </c>
      <c r="K94" s="135">
        <f t="shared" ref="K94:K153" si="5">L93-$K$29</f>
        <v>194695.01595251926</v>
      </c>
      <c r="L94" s="6">
        <f t="shared" ref="L94" si="6">K94+(K94*I94)</f>
        <v>198887.62533972072</v>
      </c>
    </row>
    <row r="95" spans="1:12" x14ac:dyDescent="0.25">
      <c r="A95" s="159">
        <v>2015</v>
      </c>
      <c r="B95" s="159">
        <v>2</v>
      </c>
      <c r="C95" s="160">
        <v>1.9199999999999998E-2</v>
      </c>
      <c r="D95" s="136">
        <f t="shared" si="1"/>
        <v>2.1079999999999998E-2</v>
      </c>
      <c r="E95" s="161">
        <v>202246</v>
      </c>
      <c r="F95" s="186">
        <v>-9.5999999999999992E-3</v>
      </c>
      <c r="G95" s="185">
        <v>9.3399999999999997E-2</v>
      </c>
      <c r="H95" s="186">
        <v>-3.5900000000000001E-2</v>
      </c>
      <c r="I95" s="136">
        <f>(0.2*(F95))  +  (0.4*(G95-G95*'TAX reduces gains by'!$Y$20))  +  (0.4*(H95))</f>
        <v>1.3607999999999999E-2</v>
      </c>
      <c r="K95" s="135">
        <f t="shared" si="5"/>
        <v>195554.62533972072</v>
      </c>
      <c r="L95" s="6">
        <f t="shared" ref="L95:L101" si="7">K95+(K95*I95)</f>
        <v>198215.73268134362</v>
      </c>
    </row>
    <row r="96" spans="1:12" x14ac:dyDescent="0.25">
      <c r="A96" s="159">
        <v>2015</v>
      </c>
      <c r="B96" s="159">
        <v>3</v>
      </c>
      <c r="C96" s="160">
        <v>8.9999999999999993E-3</v>
      </c>
      <c r="D96" s="136">
        <f t="shared" ref="D96:D154" si="8">0.2*F96 +  0.4*G96  +   0.4*H96</f>
        <v>8.9800000000000019E-3</v>
      </c>
      <c r="E96" s="161">
        <v>200724</v>
      </c>
      <c r="F96" s="185">
        <v>2.5000000000000001E-3</v>
      </c>
      <c r="G96" s="185">
        <v>4.0000000000000001E-3</v>
      </c>
      <c r="H96" s="185">
        <v>1.72E-2</v>
      </c>
      <c r="I96" s="136">
        <f>(0.2*(F96-F96*'TAX reduces gains by'!$Y$23))  +  (0.4*(G96-G96*'TAX reduces gains by'!$Y$20))  +  (0.4*(H96-H96*'TAX reduces gains by'!$Y$22))</f>
        <v>7.7407787590957058E-3</v>
      </c>
      <c r="K96" s="135">
        <f t="shared" si="5"/>
        <v>194882.73268134362</v>
      </c>
      <c r="L96" s="6">
        <f t="shared" si="7"/>
        <v>196391.27679899789</v>
      </c>
    </row>
    <row r="97" spans="1:12" x14ac:dyDescent="0.25">
      <c r="A97" s="159">
        <v>2015</v>
      </c>
      <c r="B97" s="159">
        <v>4</v>
      </c>
      <c r="C97" s="160">
        <v>-5.3800000000000001E-2</v>
      </c>
      <c r="D97" s="136">
        <f t="shared" si="8"/>
        <v>-5.3160000000000006E-2</v>
      </c>
      <c r="E97" s="161">
        <v>186591</v>
      </c>
      <c r="F97" s="186">
        <v>-4.5999999999999999E-3</v>
      </c>
      <c r="G97" s="186">
        <v>-7.1400000000000005E-2</v>
      </c>
      <c r="H97" s="186">
        <v>-5.9200000000000003E-2</v>
      </c>
      <c r="I97" s="136">
        <f>(0.2*(F97))  +  (0.4*(G97))  +  (0.4*(H97))</f>
        <v>-5.3160000000000006E-2</v>
      </c>
      <c r="K97" s="135">
        <f t="shared" si="5"/>
        <v>193058.27679899789</v>
      </c>
      <c r="L97" s="6">
        <f t="shared" si="7"/>
        <v>182795.29880436315</v>
      </c>
    </row>
    <row r="98" spans="1:12" x14ac:dyDescent="0.25">
      <c r="A98" s="159">
        <v>2015</v>
      </c>
      <c r="B98" s="159">
        <v>5</v>
      </c>
      <c r="C98" s="160">
        <v>4.8999999999999998E-3</v>
      </c>
      <c r="D98" s="136">
        <f t="shared" si="8"/>
        <v>4.8199999999999996E-3</v>
      </c>
      <c r="E98" s="161">
        <v>184171</v>
      </c>
      <c r="F98" s="186">
        <v>-3.0999999999999999E-3</v>
      </c>
      <c r="G98" s="185">
        <v>1.6299999999999999E-2</v>
      </c>
      <c r="H98" s="186">
        <v>-2.7000000000000001E-3</v>
      </c>
      <c r="I98" s="136">
        <f>(0.2*(F98))  +  (0.4*(G98-G98*'TAX reduces gains by'!$Y$20))  +  (0.4*(H98))</f>
        <v>3.516E-3</v>
      </c>
      <c r="K98" s="135">
        <f t="shared" si="5"/>
        <v>179462.29880436315</v>
      </c>
      <c r="L98" s="6">
        <f t="shared" si="7"/>
        <v>180093.2882469593</v>
      </c>
    </row>
    <row r="99" spans="1:12" x14ac:dyDescent="0.25">
      <c r="A99" s="159">
        <v>2015</v>
      </c>
      <c r="B99" s="159">
        <v>6</v>
      </c>
      <c r="C99" s="160">
        <v>-3.5799999999999998E-2</v>
      </c>
      <c r="D99" s="136">
        <f t="shared" si="8"/>
        <v>-3.5820000000000005E-2</v>
      </c>
      <c r="E99" s="161">
        <v>174241</v>
      </c>
      <c r="F99" s="186">
        <v>-1.1000000000000001E-3</v>
      </c>
      <c r="G99" s="186">
        <v>-4.2999999999999997E-2</v>
      </c>
      <c r="H99" s="186">
        <v>-4.5999999999999999E-2</v>
      </c>
      <c r="I99" s="136">
        <f>(0.2*(F99))  +  (0.4*(G99))  +  (0.4*(H99))</f>
        <v>-3.5820000000000005E-2</v>
      </c>
      <c r="K99" s="135">
        <f t="shared" si="5"/>
        <v>176760.2882469593</v>
      </c>
      <c r="L99" s="6">
        <f t="shared" si="7"/>
        <v>170428.73472195322</v>
      </c>
    </row>
    <row r="100" spans="1:12" x14ac:dyDescent="0.25">
      <c r="A100" s="159">
        <v>2015</v>
      </c>
      <c r="B100" s="159">
        <v>7</v>
      </c>
      <c r="C100" s="160">
        <v>3.9300000000000002E-2</v>
      </c>
      <c r="D100" s="136">
        <f t="shared" si="8"/>
        <v>3.9740000000000004E-2</v>
      </c>
      <c r="E100" s="161">
        <v>177760</v>
      </c>
      <c r="F100" s="185">
        <v>6.7000000000000002E-3</v>
      </c>
      <c r="G100" s="185">
        <v>0.04</v>
      </c>
      <c r="H100" s="185">
        <v>5.6000000000000001E-2</v>
      </c>
      <c r="I100" s="136">
        <f>(0.2*(F100-F100*'TAX reduces gains by'!$Y$23))  +  (0.4*(G100-G100*'TAX reduces gains by'!$Y$20))  +  (0.4*(H100-H100*'TAX reduces gains by'!$Y$22))</f>
        <v>3.3561867466533356E-2</v>
      </c>
      <c r="K100" s="135">
        <f t="shared" si="5"/>
        <v>167095.73472195322</v>
      </c>
      <c r="L100" s="6">
        <f t="shared" si="7"/>
        <v>172703.77962491443</v>
      </c>
    </row>
    <row r="101" spans="1:12" x14ac:dyDescent="0.25">
      <c r="A101" s="159">
        <v>2015</v>
      </c>
      <c r="B101" s="159">
        <v>8</v>
      </c>
      <c r="C101" s="160">
        <v>-2.53E-2</v>
      </c>
      <c r="D101" s="136">
        <f t="shared" si="8"/>
        <v>-2.5600000000000001E-2</v>
      </c>
      <c r="E101" s="161">
        <v>169938</v>
      </c>
      <c r="F101" s="185">
        <v>2.3999999999999998E-3</v>
      </c>
      <c r="G101" s="186">
        <v>-2.7000000000000001E-3</v>
      </c>
      <c r="H101" s="186">
        <v>-6.25E-2</v>
      </c>
      <c r="I101" s="136">
        <f>(0.2*(F101-F101*'TAX reduces gains by'!$Y$23))  +  (0.4*(G101))  +  (0.4*(H101))</f>
        <v>-2.5624475920679887E-2</v>
      </c>
      <c r="K101" s="135">
        <f t="shared" si="5"/>
        <v>169370.77962491443</v>
      </c>
      <c r="L101" s="6">
        <f t="shared" si="7"/>
        <v>165030.74216074904</v>
      </c>
    </row>
    <row r="102" spans="1:12" x14ac:dyDescent="0.25">
      <c r="A102" s="159">
        <v>2015</v>
      </c>
      <c r="B102" s="159">
        <v>9</v>
      </c>
      <c r="C102" s="160">
        <v>1.1299999999999999E-2</v>
      </c>
      <c r="D102" s="136">
        <f t="shared" si="8"/>
        <v>1.196E-2</v>
      </c>
      <c r="E102" s="161">
        <v>168525</v>
      </c>
      <c r="F102" s="185">
        <v>6.6E-3</v>
      </c>
      <c r="G102" s="186">
        <v>-3.5999999999999999E-3</v>
      </c>
      <c r="H102" s="185">
        <v>3.0200000000000001E-2</v>
      </c>
      <c r="I102" s="136">
        <f>(0.2*(F102-F102*'TAX reduces gains by'!$Y$23))  +  (0.4*(G102))  +  (0.4*(H102-H102*'TAX reduces gains by'!$Y$22))</f>
        <v>1.0323475531855801E-2</v>
      </c>
      <c r="K102" s="135">
        <f t="shared" si="5"/>
        <v>161697.74216074904</v>
      </c>
      <c r="L102" s="6">
        <f t="shared" ref="L102:L153" si="9">K102+(K102*I102)</f>
        <v>163367.02484550187</v>
      </c>
    </row>
    <row r="103" spans="1:12" x14ac:dyDescent="0.25">
      <c r="A103" s="159">
        <v>2015</v>
      </c>
      <c r="B103" s="159">
        <v>10</v>
      </c>
      <c r="C103" s="160">
        <v>5.3900000000000003E-2</v>
      </c>
      <c r="D103" s="136">
        <f t="shared" si="8"/>
        <v>5.4000000000000006E-2</v>
      </c>
      <c r="E103" s="161">
        <v>174274</v>
      </c>
      <c r="F103" s="185">
        <v>3.8E-3</v>
      </c>
      <c r="G103" s="185">
        <v>7.5300000000000006E-2</v>
      </c>
      <c r="H103" s="185">
        <v>5.7799999999999997E-2</v>
      </c>
      <c r="I103" s="136">
        <f>(0.2*(F103-F103*'TAX reduces gains by'!$Y$23))  +  (0.4*(G103-G103*'TAX reduces gains by'!$Y$20))  +  (0.4*(H103-H103*'TAX reduces gains by'!$Y$22))</f>
        <v>4.4933913125590183E-2</v>
      </c>
      <c r="K103" s="135">
        <f t="shared" si="5"/>
        <v>160034.02484550187</v>
      </c>
      <c r="L103" s="6">
        <f t="shared" si="9"/>
        <v>167224.97981504819</v>
      </c>
    </row>
    <row r="104" spans="1:12" x14ac:dyDescent="0.25">
      <c r="A104" s="159">
        <v>2015</v>
      </c>
      <c r="B104" s="159">
        <v>11</v>
      </c>
      <c r="C104" s="160">
        <v>1.38E-2</v>
      </c>
      <c r="D104" s="136">
        <f t="shared" si="8"/>
        <v>1.304E-2</v>
      </c>
      <c r="E104" s="161">
        <v>173341</v>
      </c>
      <c r="F104" s="185">
        <v>3.0000000000000001E-3</v>
      </c>
      <c r="G104" s="185">
        <v>3.7499999999999999E-2</v>
      </c>
      <c r="H104" s="186">
        <v>-6.4000000000000003E-3</v>
      </c>
      <c r="I104" s="136">
        <f>(0.2*(F104-F104*'TAX reduces gains by'!$Y$23))  +  (0.4*(G104-G104*'TAX reduces gains by'!$Y$20))  +  (0.4*(H104))</f>
        <v>1.0009405099150142E-2</v>
      </c>
      <c r="K104" s="135">
        <f t="shared" si="5"/>
        <v>163891.97981504819</v>
      </c>
      <c r="L104" s="6">
        <f t="shared" si="9"/>
        <v>165532.44103351876</v>
      </c>
    </row>
    <row r="105" spans="1:12" x14ac:dyDescent="0.25">
      <c r="A105" s="159">
        <v>2015</v>
      </c>
      <c r="B105" s="159">
        <v>12</v>
      </c>
      <c r="C105" s="160">
        <v>4.8999999999999998E-3</v>
      </c>
      <c r="D105" s="136">
        <f t="shared" si="8"/>
        <v>5.559999999999999E-3</v>
      </c>
      <c r="E105" s="161">
        <v>170865</v>
      </c>
      <c r="F105" s="185">
        <v>6.6E-3</v>
      </c>
      <c r="G105" s="186">
        <v>-7.3000000000000001E-3</v>
      </c>
      <c r="H105" s="185">
        <v>1.7899999999999999E-2</v>
      </c>
      <c r="I105" s="136">
        <f>(0.2*(F105-F105*'TAX reduces gains by'!$Y$23))  +  (0.4*(G105))  +  (0.4*(H105-H105*'TAX reduces gains by'!$Y$22))</f>
        <v>4.5625931789146246E-3</v>
      </c>
      <c r="K105" s="135">
        <f t="shared" si="5"/>
        <v>162199.44103351876</v>
      </c>
      <c r="L105" s="6">
        <f t="shared" si="9"/>
        <v>162939.49109680206</v>
      </c>
    </row>
    <row r="106" spans="1:12" x14ac:dyDescent="0.25">
      <c r="A106" s="159">
        <v>2016</v>
      </c>
      <c r="B106" s="159">
        <v>1</v>
      </c>
      <c r="C106" s="160">
        <v>-3.2399999999999998E-2</v>
      </c>
      <c r="D106" s="136">
        <f t="shared" si="8"/>
        <v>-3.2380000000000006E-2</v>
      </c>
      <c r="E106" s="161">
        <v>162000</v>
      </c>
      <c r="F106" s="185">
        <v>1.29E-2</v>
      </c>
      <c r="G106" s="186">
        <v>-5.3800000000000001E-2</v>
      </c>
      <c r="H106" s="186">
        <v>-3.3599999999999998E-2</v>
      </c>
      <c r="I106" s="136">
        <f>(0.2*(F106-F106*'TAX reduces gains by'!$Y$23))  +  (0.4*(G106))  +  (0.4*(H106))</f>
        <v>-3.2511558073654391E-2</v>
      </c>
      <c r="K106" s="135">
        <f t="shared" si="5"/>
        <v>159606.49109680206</v>
      </c>
      <c r="L106" s="6">
        <f t="shared" si="9"/>
        <v>154417.43539257618</v>
      </c>
    </row>
    <row r="107" spans="1:12" x14ac:dyDescent="0.25">
      <c r="A107" s="159">
        <v>2016</v>
      </c>
      <c r="B107" s="159">
        <v>2</v>
      </c>
      <c r="C107" s="160">
        <v>-2.4199999999999999E-2</v>
      </c>
      <c r="D107" s="136">
        <f t="shared" si="8"/>
        <v>-2.4740000000000002E-2</v>
      </c>
      <c r="E107" s="161">
        <v>154740</v>
      </c>
      <c r="F107" s="185">
        <v>1E-4</v>
      </c>
      <c r="G107" s="186">
        <v>-5.7599999999999998E-2</v>
      </c>
      <c r="H107" s="186">
        <v>-4.3E-3</v>
      </c>
      <c r="I107" s="136">
        <f>(0.2*(F107-F107*'TAX reduces gains by'!$Y$23))  +  (0.4*(G107))  +  (0.4*(H107))</f>
        <v>-2.474101983002833E-2</v>
      </c>
      <c r="K107" s="135">
        <f t="shared" si="5"/>
        <v>151084.43539257618</v>
      </c>
      <c r="L107" s="6">
        <f t="shared" si="9"/>
        <v>147346.45238051983</v>
      </c>
    </row>
    <row r="108" spans="1:12" x14ac:dyDescent="0.25">
      <c r="A108" s="159">
        <v>2016</v>
      </c>
      <c r="B108" s="159">
        <v>3</v>
      </c>
      <c r="C108" s="160">
        <v>8.9099999999999999E-2</v>
      </c>
      <c r="D108" s="136">
        <f t="shared" si="8"/>
        <v>9.0920000000000001E-2</v>
      </c>
      <c r="E108" s="161">
        <v>165189</v>
      </c>
      <c r="F108" s="185">
        <v>3.0000000000000001E-3</v>
      </c>
      <c r="G108" s="185">
        <v>0.1217</v>
      </c>
      <c r="H108" s="185">
        <v>0.1041</v>
      </c>
      <c r="I108" s="136">
        <f>(0.2*(F108-F108*'TAX reduces gains by'!$Y$23))  +  (0.4*(G108-G108*'TAX reduces gains by'!$Y$20))  +  (0.4*(H108-H108*'TAX reduces gains by'!$Y$22))</f>
        <v>7.5744287452091316E-2</v>
      </c>
      <c r="K108" s="135">
        <f t="shared" si="5"/>
        <v>144013.45238051983</v>
      </c>
      <c r="L108" s="6">
        <f t="shared" si="9"/>
        <v>154921.64871459798</v>
      </c>
    </row>
    <row r="109" spans="1:12" x14ac:dyDescent="0.25">
      <c r="A109" s="159">
        <v>2016</v>
      </c>
      <c r="B109" s="159">
        <v>4</v>
      </c>
      <c r="C109" s="160">
        <v>-5.8999999999999999E-3</v>
      </c>
      <c r="D109" s="136">
        <f t="shared" si="8"/>
        <v>-5.4800000000000005E-3</v>
      </c>
      <c r="E109" s="161">
        <v>160884</v>
      </c>
      <c r="F109" s="185">
        <v>6.4000000000000003E-3</v>
      </c>
      <c r="G109" s="185">
        <v>7.1999999999999998E-3</v>
      </c>
      <c r="H109" s="186">
        <v>-2.41E-2</v>
      </c>
      <c r="I109" s="136">
        <f>(0.2*(F109-F109*'TAX reduces gains by'!$Y$23))  +  (0.4*(G109-G109*'TAX reduces gains by'!$Y$20))  +  (0.4*(H109))</f>
        <v>-6.1212691218130322E-3</v>
      </c>
      <c r="K109" s="135">
        <f t="shared" si="5"/>
        <v>151588.64871459798</v>
      </c>
      <c r="L109" s="6">
        <f t="shared" si="9"/>
        <v>150660.73380000395</v>
      </c>
    </row>
    <row r="110" spans="1:12" x14ac:dyDescent="0.25">
      <c r="A110" s="159">
        <v>2016</v>
      </c>
      <c r="B110" s="159">
        <v>5</v>
      </c>
      <c r="C110" s="160">
        <v>3.1099999999999999E-2</v>
      </c>
      <c r="D110" s="136">
        <f t="shared" si="8"/>
        <v>3.1260000000000003E-2</v>
      </c>
      <c r="E110" s="161">
        <v>162547</v>
      </c>
      <c r="F110" s="185">
        <v>8.9999999999999998E-4</v>
      </c>
      <c r="G110" s="185">
        <v>5.4100000000000002E-2</v>
      </c>
      <c r="H110" s="185">
        <v>2.3599999999999999E-2</v>
      </c>
      <c r="I110" s="136">
        <f>(0.2*(F110-F110*'TAX reduces gains by'!$Y$23))  +  (0.4*(G110-G110*'TAX reduces gains by'!$Y$20))  +  (0.4*(H110-H110*'TAX reduces gains by'!$Y$22))</f>
        <v>2.5696547019941118E-2</v>
      </c>
      <c r="K110" s="135">
        <f t="shared" si="5"/>
        <v>147327.73380000395</v>
      </c>
      <c r="L110" s="6">
        <f t="shared" si="9"/>
        <v>151113.54783893711</v>
      </c>
    </row>
    <row r="111" spans="1:12" x14ac:dyDescent="0.25">
      <c r="A111" s="159">
        <v>2016</v>
      </c>
      <c r="B111" s="159">
        <v>6</v>
      </c>
      <c r="C111" s="160">
        <v>2.5600000000000001E-2</v>
      </c>
      <c r="D111" s="136">
        <f t="shared" si="8"/>
        <v>2.5520000000000001E-2</v>
      </c>
      <c r="E111" s="161">
        <v>163378</v>
      </c>
      <c r="F111" s="185">
        <v>1.4E-2</v>
      </c>
      <c r="G111" s="186">
        <v>-1.2E-2</v>
      </c>
      <c r="H111" s="185">
        <v>6.88E-2</v>
      </c>
      <c r="I111" s="136">
        <f>(0.2*(F111-F111*'TAX reduces gains by'!$Y$23))  +  (0.4*(G111))  +  (0.4*(H111-H111*'TAX reduces gains by'!$Y$22))</f>
        <v>2.1802321835249678E-2</v>
      </c>
      <c r="K111" s="135">
        <f t="shared" si="5"/>
        <v>147780.54783893711</v>
      </c>
      <c r="L111" s="6">
        <f t="shared" si="9"/>
        <v>151002.50690391113</v>
      </c>
    </row>
    <row r="112" spans="1:12" x14ac:dyDescent="0.25">
      <c r="A112" s="159">
        <v>2016</v>
      </c>
      <c r="B112" s="159">
        <v>7</v>
      </c>
      <c r="C112" s="160">
        <v>3.44E-2</v>
      </c>
      <c r="D112" s="136">
        <f t="shared" si="8"/>
        <v>3.4100000000000005E-2</v>
      </c>
      <c r="E112" s="161">
        <v>165666</v>
      </c>
      <c r="F112" s="186">
        <v>-5.0000000000000001E-4</v>
      </c>
      <c r="G112" s="185">
        <v>4.3700000000000003E-2</v>
      </c>
      <c r="H112" s="185">
        <v>4.1799999999999997E-2</v>
      </c>
      <c r="I112" s="136">
        <f>(0.2*(F112-F112*'TAX reduces gains by'!$Y$23))  +  (0.4*(G112-G112*'TAX reduces gains by'!$Y$20))  +  (0.4*(H112))</f>
        <v>3.0609099150141643E-2</v>
      </c>
      <c r="K112" s="135">
        <f t="shared" si="5"/>
        <v>147669.50690391113</v>
      </c>
      <c r="L112" s="6">
        <f t="shared" si="9"/>
        <v>152189.53748218546</v>
      </c>
    </row>
    <row r="113" spans="1:12" x14ac:dyDescent="0.25">
      <c r="A113" s="159">
        <v>2016</v>
      </c>
      <c r="B113" s="159">
        <v>8</v>
      </c>
      <c r="C113" s="160">
        <v>-4.2500000000000003E-2</v>
      </c>
      <c r="D113" s="136">
        <f t="shared" si="8"/>
        <v>-4.2220000000000008E-2</v>
      </c>
      <c r="E113" s="161">
        <v>155290</v>
      </c>
      <c r="F113" s="185">
        <v>1.5E-3</v>
      </c>
      <c r="G113" s="186">
        <v>-6.9500000000000006E-2</v>
      </c>
      <c r="H113" s="186">
        <v>-3.6799999999999999E-2</v>
      </c>
      <c r="I113" s="136">
        <f>(0.2*(F113-F113*'TAX reduces gains by'!$Y$23))  +  (0.4*(G113))  +  (0.4*(H113))</f>
        <v>-4.2235297450424938E-2</v>
      </c>
      <c r="K113" s="135">
        <f t="shared" si="5"/>
        <v>148856.53748218546</v>
      </c>
      <c r="L113" s="6">
        <f t="shared" si="9"/>
        <v>142569.53734418502</v>
      </c>
    </row>
    <row r="114" spans="1:12" x14ac:dyDescent="0.25">
      <c r="A114" s="159">
        <v>2016</v>
      </c>
      <c r="B114" s="159">
        <v>9</v>
      </c>
      <c r="C114" s="160">
        <v>-3.0200000000000001E-2</v>
      </c>
      <c r="D114" s="136">
        <f t="shared" si="8"/>
        <v>-3.0840000000000003E-2</v>
      </c>
      <c r="E114" s="161">
        <v>147270</v>
      </c>
      <c r="F114" s="186">
        <v>-4.0000000000000001E-3</v>
      </c>
      <c r="G114" s="186">
        <v>-5.6800000000000003E-2</v>
      </c>
      <c r="H114" s="186">
        <v>-1.83E-2</v>
      </c>
      <c r="I114" s="136">
        <f>(0.2*(F114))  +  (0.4*(G114))  +  (0.4*(H114))</f>
        <v>-3.0840000000000003E-2</v>
      </c>
      <c r="K114" s="135">
        <f t="shared" si="5"/>
        <v>139236.53734418502</v>
      </c>
      <c r="L114" s="6">
        <f t="shared" si="9"/>
        <v>134942.48253249036</v>
      </c>
    </row>
    <row r="115" spans="1:12" x14ac:dyDescent="0.25">
      <c r="A115" s="159">
        <v>2016</v>
      </c>
      <c r="B115" s="159">
        <v>10</v>
      </c>
      <c r="C115" s="160">
        <v>-5.3100000000000001E-2</v>
      </c>
      <c r="D115" s="136">
        <f t="shared" si="8"/>
        <v>-5.3460000000000008E-2</v>
      </c>
      <c r="E115" s="161">
        <v>136124</v>
      </c>
      <c r="F115" s="186">
        <v>-8.0999999999999996E-3</v>
      </c>
      <c r="G115" s="186">
        <v>-7.2400000000000006E-2</v>
      </c>
      <c r="H115" s="186">
        <v>-5.7200000000000001E-2</v>
      </c>
      <c r="I115" s="136">
        <f>(0.2*(F115))  +  (0.4*(G115))  +  (0.4*(H115))</f>
        <v>-5.3460000000000008E-2</v>
      </c>
      <c r="K115" s="135">
        <f t="shared" si="5"/>
        <v>131609.48253249036</v>
      </c>
      <c r="L115" s="6">
        <f t="shared" si="9"/>
        <v>124573.63959630343</v>
      </c>
    </row>
    <row r="116" spans="1:12" x14ac:dyDescent="0.25">
      <c r="A116" s="159">
        <v>2016</v>
      </c>
      <c r="B116" s="159">
        <v>11</v>
      </c>
      <c r="C116" s="160">
        <v>6.7000000000000002E-3</v>
      </c>
      <c r="D116" s="136">
        <f t="shared" si="8"/>
        <v>9.6400000000000062E-3</v>
      </c>
      <c r="E116" s="161">
        <v>133700</v>
      </c>
      <c r="F116" s="186">
        <v>-3.4200000000000001E-2</v>
      </c>
      <c r="G116" s="185">
        <v>5.8500000000000003E-2</v>
      </c>
      <c r="H116" s="186">
        <v>-1.7299999999999999E-2</v>
      </c>
      <c r="I116" s="136">
        <f>(0.2*(F116))  +  (0.4*(G116-G116*'TAX reduces gains by'!$Y$20))  +  (0.4*(H116))</f>
        <v>4.96E-3</v>
      </c>
      <c r="K116" s="135">
        <f t="shared" si="5"/>
        <v>121240.63959630343</v>
      </c>
      <c r="L116" s="6">
        <f t="shared" si="9"/>
        <v>121841.9931687011</v>
      </c>
    </row>
    <row r="117" spans="1:12" x14ac:dyDescent="0.25">
      <c r="A117" s="159">
        <v>2016</v>
      </c>
      <c r="B117" s="159">
        <v>12</v>
      </c>
      <c r="C117" s="160">
        <v>2.4500000000000001E-2</v>
      </c>
      <c r="D117" s="136">
        <f t="shared" si="8"/>
        <v>2.3800000000000002E-2</v>
      </c>
      <c r="E117" s="161">
        <v>133642</v>
      </c>
      <c r="F117" s="185">
        <v>9.5999999999999992E-3</v>
      </c>
      <c r="G117" s="185">
        <v>8.0999999999999996E-3</v>
      </c>
      <c r="H117" s="185">
        <v>4.6600000000000003E-2</v>
      </c>
      <c r="I117" s="136">
        <f>(0.2*(F117-F117*'TAX reduces gains by'!$Y$23))  +  (0.4*(G117-G117*'TAX reduces gains by'!$Y$20))  +  (0.4*(H117-H117*'TAX reduces gains by'!$Y$22))</f>
        <v>2.0632723768260846E-2</v>
      </c>
      <c r="K117" s="135">
        <f t="shared" si="5"/>
        <v>118508.9931687011</v>
      </c>
      <c r="L117" s="6">
        <f t="shared" si="9"/>
        <v>120954.15648880562</v>
      </c>
    </row>
    <row r="118" spans="1:12" x14ac:dyDescent="0.25">
      <c r="A118" s="159">
        <v>2017</v>
      </c>
      <c r="B118" s="159">
        <v>1</v>
      </c>
      <c r="C118" s="160">
        <v>1.3899999999999999E-2</v>
      </c>
      <c r="D118" s="136">
        <f t="shared" si="8"/>
        <v>1.3900000000000001E-2</v>
      </c>
      <c r="E118" s="161">
        <v>132168</v>
      </c>
      <c r="F118" s="185">
        <v>5.3E-3</v>
      </c>
      <c r="G118" s="185">
        <v>3.2500000000000001E-2</v>
      </c>
      <c r="H118" s="186">
        <v>-4.0000000000000002E-4</v>
      </c>
      <c r="I118" s="136">
        <f>(0.2*(F118-F118*'TAX reduces gains by'!$Y$23))  +  (0.4*(G118))  +  (0.4*(H118-H118*'TAX reduces gains by'!$Y$22))</f>
        <v>1.3866733322224075E-2</v>
      </c>
      <c r="K118" s="135">
        <f t="shared" si="5"/>
        <v>117621.15648880562</v>
      </c>
      <c r="L118" s="6">
        <f t="shared" si="9"/>
        <v>119252.17769888746</v>
      </c>
    </row>
    <row r="119" spans="1:12" x14ac:dyDescent="0.25">
      <c r="A119" s="159">
        <v>2017</v>
      </c>
      <c r="B119" s="159">
        <v>2</v>
      </c>
      <c r="C119" s="160">
        <v>2.1899999999999999E-2</v>
      </c>
      <c r="D119" s="136">
        <f t="shared" si="8"/>
        <v>2.1940000000000001E-2</v>
      </c>
      <c r="E119" s="161">
        <v>131725</v>
      </c>
      <c r="F119" s="185">
        <v>5.7000000000000002E-3</v>
      </c>
      <c r="G119" s="185">
        <v>1.77E-2</v>
      </c>
      <c r="H119" s="185">
        <v>3.4299999999999997E-2</v>
      </c>
      <c r="I119" s="136">
        <f>(0.2*(F119-F119*'TAX reduces gains by'!$Y$23))  +  (0.4*(G119-G119*'TAX reduces gains by'!$Y$20))  +  (0.4*(H119-H119*'TAX reduces gains by'!$Y$22))</f>
        <v>1.8683614786424482E-2</v>
      </c>
      <c r="K119" s="135">
        <f t="shared" si="5"/>
        <v>115919.17769888746</v>
      </c>
      <c r="L119" s="6">
        <f t="shared" si="9"/>
        <v>118084.96696137256</v>
      </c>
    </row>
    <row r="120" spans="1:12" x14ac:dyDescent="0.25">
      <c r="A120" s="159">
        <v>2017</v>
      </c>
      <c r="B120" s="159">
        <v>3</v>
      </c>
      <c r="C120" s="160">
        <v>3.39E-2</v>
      </c>
      <c r="D120" s="136">
        <f t="shared" si="8"/>
        <v>3.3340000000000009E-2</v>
      </c>
      <c r="E120" s="161">
        <v>132861</v>
      </c>
      <c r="F120" s="185">
        <v>3.0999999999999999E-3</v>
      </c>
      <c r="G120" s="185">
        <v>0.10539999999999999</v>
      </c>
      <c r="H120" s="186">
        <v>-2.3599999999999999E-2</v>
      </c>
      <c r="I120" s="136">
        <f>(0.2*(F120-F120*'TAX reduces gains by'!$Y$23))  +  (0.4*(G120-G120*'TAX reduces gains by'!$Y$20))  +  (0.4*(H120))</f>
        <v>2.4876385269121812E-2</v>
      </c>
      <c r="K120" s="135">
        <f t="shared" si="5"/>
        <v>114751.96696137256</v>
      </c>
      <c r="L120" s="6">
        <f t="shared" si="9"/>
        <v>117606.5811018932</v>
      </c>
    </row>
    <row r="121" spans="1:12" x14ac:dyDescent="0.25">
      <c r="A121" s="159">
        <v>2017</v>
      </c>
      <c r="B121" s="159">
        <v>4</v>
      </c>
      <c r="C121" s="160">
        <v>1.7899999999999999E-2</v>
      </c>
      <c r="D121" s="136">
        <f t="shared" si="8"/>
        <v>1.678E-2</v>
      </c>
      <c r="E121" s="161">
        <v>131904</v>
      </c>
      <c r="F121" s="185">
        <v>7.3000000000000001E-3</v>
      </c>
      <c r="G121" s="185">
        <v>3.6799999999999999E-2</v>
      </c>
      <c r="H121" s="185">
        <v>1.5E-3</v>
      </c>
      <c r="I121" s="136">
        <f>(0.2*(F121-F121*'TAX reduces gains by'!$Y$23))  +  (0.4*(G121-G121*'TAX reduces gains by'!$Y$20))  +  (0.4*(H121-H121*'TAX reduces gains by'!$Y$22))</f>
        <v>1.3683611231461425E-2</v>
      </c>
      <c r="K121" s="135">
        <f t="shared" si="5"/>
        <v>114273.5811018932</v>
      </c>
      <c r="L121" s="6">
        <f t="shared" si="9"/>
        <v>115837.25635971839</v>
      </c>
    </row>
    <row r="122" spans="1:12" x14ac:dyDescent="0.25">
      <c r="A122" s="159">
        <v>2017</v>
      </c>
      <c r="B122" s="159">
        <v>5</v>
      </c>
      <c r="C122" s="160">
        <v>-3.1699999999999999E-2</v>
      </c>
      <c r="D122" s="136">
        <f t="shared" si="8"/>
        <v>-2.8659999999999998E-2</v>
      </c>
      <c r="E122" s="161">
        <v>124395</v>
      </c>
      <c r="F122" s="185">
        <v>1.37E-2</v>
      </c>
      <c r="G122" s="186">
        <v>-7.1999999999999995E-2</v>
      </c>
      <c r="H122" s="186">
        <v>-6.4999999999999997E-3</v>
      </c>
      <c r="I122" s="136">
        <f>(0.2*(F122-F122*'TAX reduces gains by'!$Y$23))  +  (0.4*(G122))  +  (0.4*(H122))</f>
        <v>-2.879971671388102E-2</v>
      </c>
      <c r="K122" s="135">
        <f t="shared" si="5"/>
        <v>112504.25635971839</v>
      </c>
      <c r="L122" s="6">
        <f t="shared" si="9"/>
        <v>109264.16564745265</v>
      </c>
    </row>
    <row r="123" spans="1:12" x14ac:dyDescent="0.25">
      <c r="A123" s="159">
        <v>2017</v>
      </c>
      <c r="B123" s="159">
        <v>6</v>
      </c>
      <c r="C123" s="160">
        <v>6.9999999999999999E-4</v>
      </c>
      <c r="D123" s="136">
        <f t="shared" si="8"/>
        <v>1.4400000000000012E-3</v>
      </c>
      <c r="E123" s="161">
        <v>121145</v>
      </c>
      <c r="F123" s="185">
        <v>-3.3999999999999998E-3</v>
      </c>
      <c r="G123" s="186">
        <v>-1.5699999999999999E-2</v>
      </c>
      <c r="H123" s="185">
        <v>2.1000000000000001E-2</v>
      </c>
      <c r="I123" s="136">
        <f>(0.2*(F123-F123*'TAX reduces gains by'!$Y$23))  +  (0.4*(G123))  +  (0.4*(H123-H123*'TAX reduces gains by'!$Y$22))</f>
        <v>3.834977503749358E-4</v>
      </c>
      <c r="K123" s="135">
        <f t="shared" si="5"/>
        <v>105931.16564745265</v>
      </c>
      <c r="L123" s="6">
        <f t="shared" si="9"/>
        <v>105971.79001117304</v>
      </c>
    </row>
    <row r="124" spans="1:12" x14ac:dyDescent="0.25">
      <c r="A124" s="159">
        <v>2017</v>
      </c>
      <c r="B124" s="159">
        <v>7</v>
      </c>
      <c r="C124" s="160">
        <v>7.6E-3</v>
      </c>
      <c r="D124" s="136">
        <f t="shared" si="8"/>
        <v>7.7400000000000004E-3</v>
      </c>
      <c r="E124" s="161">
        <v>118738</v>
      </c>
      <c r="F124" s="185">
        <v>6.4999999999999997E-3</v>
      </c>
      <c r="G124" s="185">
        <v>3.8E-3</v>
      </c>
      <c r="H124" s="185">
        <v>1.23E-2</v>
      </c>
      <c r="I124" s="136">
        <f>(0.2*(F124-F124*'TAX reduces gains by'!$Y$23))  +  (0.4*(G124-G124*'TAX reduces gains by'!$Y$20))  +  (0.4*(H124-H124*'TAX reduces gains by'!$Y$22))</f>
        <v>6.7305934010998165E-3</v>
      </c>
      <c r="K124" s="135">
        <f t="shared" si="5"/>
        <v>102638.79001117304</v>
      </c>
      <c r="L124" s="6">
        <f t="shared" si="9"/>
        <v>103329.60997391911</v>
      </c>
    </row>
    <row r="125" spans="1:12" x14ac:dyDescent="0.25">
      <c r="A125" s="159">
        <v>2017</v>
      </c>
      <c r="B125" s="159">
        <v>8</v>
      </c>
      <c r="C125" s="160">
        <v>-1.8200000000000001E-2</v>
      </c>
      <c r="D125" s="136">
        <f t="shared" si="8"/>
        <v>-1.754E-2</v>
      </c>
      <c r="E125" s="161">
        <v>113239</v>
      </c>
      <c r="F125" s="185">
        <v>7.9000000000000008E-3</v>
      </c>
      <c r="G125" s="186">
        <v>-4.53E-2</v>
      </c>
      <c r="H125" s="186">
        <v>-2.5000000000000001E-3</v>
      </c>
      <c r="I125" s="136">
        <f>(0.2*(F125-F125*'TAX reduces gains by'!$Y$23))  +  (0.4*(G125))  +  (0.4*(H125))</f>
        <v>-1.7620566572237963E-2</v>
      </c>
      <c r="K125" s="135">
        <f t="shared" si="5"/>
        <v>99996.609973919112</v>
      </c>
      <c r="L125" s="6">
        <f t="shared" si="9"/>
        <v>98234.61305087556</v>
      </c>
    </row>
    <row r="126" spans="1:12" x14ac:dyDescent="0.25">
      <c r="A126" s="159">
        <v>2017</v>
      </c>
      <c r="B126" s="159">
        <v>9</v>
      </c>
      <c r="C126" s="160">
        <v>3.1699999999999999E-2</v>
      </c>
      <c r="D126" s="136">
        <f t="shared" si="8"/>
        <v>3.1420000000000003E-2</v>
      </c>
      <c r="E126" s="161">
        <v>113493</v>
      </c>
      <c r="F126" s="186">
        <v>-4.1000000000000003E-3</v>
      </c>
      <c r="G126" s="185">
        <v>8.1900000000000001E-2</v>
      </c>
      <c r="H126" s="186">
        <v>-1.2999999999999999E-3</v>
      </c>
      <c r="I126" s="136">
        <f>(0.2*(F126))  +  (0.4*(G126-G126*'TAX reduces gains by'!$Y$20))  +  (0.4*(H126))</f>
        <v>2.4867999999999998E-2</v>
      </c>
      <c r="K126" s="135">
        <f t="shared" si="5"/>
        <v>94901.61305087556</v>
      </c>
      <c r="L126" s="6">
        <f t="shared" si="9"/>
        <v>97261.626364224736</v>
      </c>
    </row>
    <row r="127" spans="1:12" x14ac:dyDescent="0.25">
      <c r="A127" s="159">
        <v>2017</v>
      </c>
      <c r="B127" s="159">
        <v>10</v>
      </c>
      <c r="C127" s="160">
        <v>-1.5E-3</v>
      </c>
      <c r="D127" s="136">
        <f t="shared" si="8"/>
        <v>-1.7800000000000003E-3</v>
      </c>
      <c r="E127" s="161">
        <v>109986</v>
      </c>
      <c r="F127" s="186">
        <v>8.9999999999999998E-4</v>
      </c>
      <c r="G127" s="185">
        <v>5.1999999999999998E-3</v>
      </c>
      <c r="H127" s="186">
        <v>-1.01E-2</v>
      </c>
      <c r="I127" s="136">
        <f>(0.2*(F127))  +  (0.4*(G127-G127*'TAX reduces gains by'!$Y$20))  +  (0.4*(H127))</f>
        <v>-2.196E-3</v>
      </c>
      <c r="K127" s="135">
        <f t="shared" si="5"/>
        <v>93928.626364224736</v>
      </c>
      <c r="L127" s="6">
        <f t="shared" si="9"/>
        <v>93722.359100728892</v>
      </c>
    </row>
    <row r="128" spans="1:12" x14ac:dyDescent="0.25">
      <c r="A128" s="159">
        <v>2017</v>
      </c>
      <c r="B128" s="159">
        <v>11</v>
      </c>
      <c r="C128" s="160">
        <v>2.69E-2</v>
      </c>
      <c r="D128" s="136">
        <f t="shared" si="8"/>
        <v>2.6279999999999998E-2</v>
      </c>
      <c r="E128" s="161">
        <v>109611</v>
      </c>
      <c r="F128" s="185">
        <v>-7.0000000000000001E-3</v>
      </c>
      <c r="G128" s="185">
        <v>4.2799999999999998E-2</v>
      </c>
      <c r="H128" s="185">
        <v>2.64E-2</v>
      </c>
      <c r="I128" s="136">
        <f>(0.2*(F128-F128*'TAX reduces gains by'!$Y$23))  +  (0.4*(G128-G128*'TAX reduces gains by'!$Y$20))  +  (0.4*(H128-H128*'TAX reduces gains by'!$Y$22))</f>
        <v>2.1555623396100648E-2</v>
      </c>
      <c r="K128" s="135">
        <f t="shared" si="5"/>
        <v>90389.359100728892</v>
      </c>
      <c r="L128" s="6">
        <f t="shared" si="9"/>
        <v>92337.758084519111</v>
      </c>
    </row>
    <row r="129" spans="1:12" x14ac:dyDescent="0.25">
      <c r="A129" s="159">
        <v>2017</v>
      </c>
      <c r="B129" s="159">
        <v>12</v>
      </c>
      <c r="C129" s="160">
        <v>5.04E-2</v>
      </c>
      <c r="D129" s="136">
        <f t="shared" si="8"/>
        <v>4.6740000000000004E-2</v>
      </c>
      <c r="E129" s="161">
        <v>111805</v>
      </c>
      <c r="F129" s="185">
        <v>8.6999999999999994E-3</v>
      </c>
      <c r="G129" s="185">
        <v>0.1148</v>
      </c>
      <c r="H129" s="186">
        <v>-2.3E-3</v>
      </c>
      <c r="I129" s="136">
        <f>(0.2*(F129-F129*'TAX reduces gains by'!$Y$23))  +  (0.4*(G129-G129*'TAX reduces gains by'!$Y$20))  +  (0.4*(H129))</f>
        <v>3.7467274787535421E-2</v>
      </c>
      <c r="K129" s="135">
        <f t="shared" si="5"/>
        <v>89004.758084519111</v>
      </c>
      <c r="L129" s="6">
        <f t="shared" si="9"/>
        <v>92339.5238130699</v>
      </c>
    </row>
    <row r="130" spans="1:12" x14ac:dyDescent="0.25">
      <c r="A130" s="159">
        <v>2018</v>
      </c>
      <c r="B130" s="159">
        <v>1</v>
      </c>
      <c r="C130" s="160">
        <v>3.3500000000000002E-2</v>
      </c>
      <c r="D130" s="136">
        <f t="shared" si="8"/>
        <v>3.3560000000000006E-2</v>
      </c>
      <c r="E130" s="161">
        <v>112223</v>
      </c>
      <c r="F130" s="186">
        <v>-1.04E-2</v>
      </c>
      <c r="G130" s="185">
        <v>0.13120000000000001</v>
      </c>
      <c r="H130" s="185">
        <v>-4.2099999999999999E-2</v>
      </c>
      <c r="I130" s="136">
        <f>(0.2*(F130-F130*'TAX reduces gains by'!$Y$23))  +  (0.4*(G130-G130*'TAX reduces gains by'!$Y$20))  +  (0.4*(H130))</f>
        <v>2.3170062322946182E-2</v>
      </c>
      <c r="K130" s="135">
        <f t="shared" si="5"/>
        <v>89006.5238130699</v>
      </c>
      <c r="L130" s="6">
        <f t="shared" si="9"/>
        <v>91068.810516967525</v>
      </c>
    </row>
    <row r="131" spans="1:12" x14ac:dyDescent="0.25">
      <c r="A131" s="159">
        <v>2018</v>
      </c>
      <c r="B131" s="159">
        <v>2</v>
      </c>
      <c r="C131" s="160">
        <v>-9.2200000000000004E-2</v>
      </c>
      <c r="D131" s="136">
        <f t="shared" si="8"/>
        <v>-8.9020000000000002E-2</v>
      </c>
      <c r="E131" s="161">
        <v>98542</v>
      </c>
      <c r="F131" s="186">
        <v>-2.8999999999999998E-3</v>
      </c>
      <c r="G131" s="186">
        <v>-0.14460000000000001</v>
      </c>
      <c r="H131" s="186">
        <v>-7.6499999999999999E-2</v>
      </c>
      <c r="I131" s="136">
        <f>(0.2*(F131))  +  (0.4*(G131))  +  (0.4*(H131))</f>
        <v>-8.9020000000000002E-2</v>
      </c>
      <c r="K131" s="135">
        <f t="shared" si="5"/>
        <v>87735.810516967525</v>
      </c>
      <c r="L131" s="6">
        <f t="shared" si="9"/>
        <v>79925.568664747072</v>
      </c>
    </row>
    <row r="132" spans="1:12" x14ac:dyDescent="0.25">
      <c r="A132" s="159">
        <v>2018</v>
      </c>
      <c r="B132" s="159">
        <v>3</v>
      </c>
      <c r="C132" s="160">
        <v>6.4999999999999997E-3</v>
      </c>
      <c r="D132" s="136">
        <f t="shared" si="8"/>
        <v>7.5999999999999991E-3</v>
      </c>
      <c r="E132" s="161">
        <v>95847</v>
      </c>
      <c r="F132" s="185">
        <v>2.3999999999999998E-3</v>
      </c>
      <c r="G132" s="186">
        <v>-2.0500000000000001E-2</v>
      </c>
      <c r="H132" s="185">
        <v>3.8300000000000001E-2</v>
      </c>
      <c r="I132" s="136">
        <f>(0.2*(F132-F132*'TAX reduces gains by'!$Y$23))  +  (0.4*(G132))  +  (0.4*(H132-H132*'TAX reduces gains by'!$Y$22))</f>
        <v>5.585426040104426E-3</v>
      </c>
      <c r="K132" s="135">
        <f t="shared" si="5"/>
        <v>76592.568664747072</v>
      </c>
      <c r="L132" s="6">
        <f t="shared" si="9"/>
        <v>77020.370792245638</v>
      </c>
    </row>
    <row r="133" spans="1:12" x14ac:dyDescent="0.25">
      <c r="A133" s="159">
        <v>2018</v>
      </c>
      <c r="B133" s="159">
        <v>4</v>
      </c>
      <c r="C133" s="160">
        <v>-1.9900000000000001E-2</v>
      </c>
      <c r="D133" s="136">
        <f t="shared" si="8"/>
        <v>-1.9740000000000001E-2</v>
      </c>
      <c r="E133" s="161">
        <v>90602</v>
      </c>
      <c r="F133" s="186">
        <v>-3.5000000000000001E-3</v>
      </c>
      <c r="G133" s="186">
        <v>-5.6000000000000001E-2</v>
      </c>
      <c r="H133" s="185">
        <v>8.3999999999999995E-3</v>
      </c>
      <c r="I133" s="136">
        <f>(0.2*(F133))  +  (0.4*(G133))  +  (0.4*(H133-H133*'TAX reduces gains by'!$Y$22))</f>
        <v>-2.0176470588235296E-2</v>
      </c>
      <c r="K133" s="135">
        <f t="shared" si="5"/>
        <v>73687.370792245638</v>
      </c>
      <c r="L133" s="6">
        <f t="shared" si="9"/>
        <v>72200.619722731499</v>
      </c>
    </row>
    <row r="134" spans="1:12" x14ac:dyDescent="0.25">
      <c r="A134" s="159">
        <v>2018</v>
      </c>
      <c r="B134" s="159">
        <v>5</v>
      </c>
      <c r="C134" s="160">
        <v>7.5600000000000001E-2</v>
      </c>
      <c r="D134" s="136">
        <f t="shared" si="8"/>
        <v>7.7520000000000006E-2</v>
      </c>
      <c r="E134" s="161">
        <v>94121</v>
      </c>
      <c r="F134" s="185">
        <v>1.04E-2</v>
      </c>
      <c r="G134" s="185">
        <v>0.15260000000000001</v>
      </c>
      <c r="H134" s="185">
        <v>3.5999999999999997E-2</v>
      </c>
      <c r="I134" s="136">
        <f>(0.2*(F134-F134*'TAX reduces gains by'!$Y$23))  +  (0.4*(G134-G134*'TAX reduces gains by'!$Y$20))  +  (0.4*(H134-H134*'TAX reduces gains by'!$Y$22))</f>
        <v>6.3335349441759711E-2</v>
      </c>
      <c r="K134" s="135">
        <f t="shared" si="5"/>
        <v>68867.619722731499</v>
      </c>
      <c r="L134" s="6">
        <f t="shared" si="9"/>
        <v>73229.374483092921</v>
      </c>
    </row>
    <row r="135" spans="1:12" x14ac:dyDescent="0.25">
      <c r="A135" s="159">
        <v>2018</v>
      </c>
      <c r="B135" s="159">
        <v>6</v>
      </c>
      <c r="C135" s="160">
        <v>1.8499999999999999E-2</v>
      </c>
      <c r="D135" s="136">
        <f t="shared" si="8"/>
        <v>1.9060000000000004E-2</v>
      </c>
      <c r="E135" s="161">
        <v>92533</v>
      </c>
      <c r="F135" s="185">
        <v>8.9999999999999998E-4</v>
      </c>
      <c r="G135" s="185">
        <v>5.8999999999999999E-3</v>
      </c>
      <c r="H135" s="185">
        <v>4.1300000000000003E-2</v>
      </c>
      <c r="I135" s="136">
        <f>(0.2*(F135-F135*'TAX reduces gains by'!$Y$23))  +  (0.4*(G135-G135*'TAX reduces gains by'!$Y$20))  +  (0.4*(H135-H135*'TAX reduces gains by'!$Y$22))</f>
        <v>1.6432841137588181E-2</v>
      </c>
      <c r="K135" s="135">
        <f t="shared" si="5"/>
        <v>69896.374483092921</v>
      </c>
      <c r="L135" s="6">
        <f t="shared" si="9"/>
        <v>71044.970501066957</v>
      </c>
    </row>
    <row r="136" spans="1:12" x14ac:dyDescent="0.25">
      <c r="A136" s="159">
        <v>2018</v>
      </c>
      <c r="B136" s="159">
        <v>7</v>
      </c>
      <c r="C136" s="160">
        <v>2.1600000000000001E-2</v>
      </c>
      <c r="D136" s="136">
        <f t="shared" si="8"/>
        <v>2.1200000000000004E-2</v>
      </c>
      <c r="E136" s="161">
        <v>91196</v>
      </c>
      <c r="F136" s="185">
        <v>2.3999999999999998E-3</v>
      </c>
      <c r="G136" s="185">
        <v>4.4400000000000002E-2</v>
      </c>
      <c r="H136" s="185">
        <v>7.4000000000000003E-3</v>
      </c>
      <c r="I136" s="136">
        <f>(0.2*(F136-F136*'TAX reduces gains by'!$Y$23))  +  (0.4*(G136-G136*'TAX reduces gains by'!$Y$20))  +  (0.4*(H136-H136*'TAX reduces gains by'!$Y$22))</f>
        <v>1.7239014275398548E-2</v>
      </c>
      <c r="K136" s="135">
        <f t="shared" si="5"/>
        <v>67711.970501066957</v>
      </c>
      <c r="L136" s="6">
        <f t="shared" si="9"/>
        <v>68879.258127150213</v>
      </c>
    </row>
    <row r="137" spans="1:12" x14ac:dyDescent="0.25">
      <c r="A137" s="159">
        <v>2018</v>
      </c>
      <c r="B137" s="159">
        <v>8</v>
      </c>
      <c r="C137" s="160">
        <v>4.9500000000000002E-2</v>
      </c>
      <c r="D137" s="136">
        <f t="shared" si="8"/>
        <v>4.8060000000000005E-2</v>
      </c>
      <c r="E137" s="161">
        <v>92379</v>
      </c>
      <c r="F137" s="185">
        <v>1.6999999999999999E-3</v>
      </c>
      <c r="G137" s="185">
        <v>9.4700000000000006E-2</v>
      </c>
      <c r="H137" s="185">
        <v>2.46E-2</v>
      </c>
      <c r="I137" s="136">
        <f>(0.2*(F137-F137*'TAX reduces gains by'!$Y$23))  +  (0.4*(G137-G137*'TAX reduces gains by'!$Y$20))  +  (0.4*(H137-H137*'TAX reduces gains by'!$Y$22))</f>
        <v>3.9188427595400768E-2</v>
      </c>
      <c r="K137" s="135">
        <f t="shared" si="5"/>
        <v>65546.258127150213</v>
      </c>
      <c r="L137" s="6">
        <f t="shared" si="9"/>
        <v>68114.912917915484</v>
      </c>
    </row>
    <row r="138" spans="1:12" x14ac:dyDescent="0.25">
      <c r="A138" s="159">
        <v>2018</v>
      </c>
      <c r="B138" s="159">
        <v>9</v>
      </c>
      <c r="C138" s="160">
        <v>1.35E-2</v>
      </c>
      <c r="D138" s="136">
        <f t="shared" si="8"/>
        <v>1.0840000000000002E-2</v>
      </c>
      <c r="E138" s="161">
        <v>90291</v>
      </c>
      <c r="F138" s="186">
        <v>-4.7999999999999996E-3</v>
      </c>
      <c r="G138" s="185">
        <v>5.5800000000000002E-2</v>
      </c>
      <c r="H138" s="186">
        <v>-2.63E-2</v>
      </c>
      <c r="I138" s="136">
        <f>(0.2*(F138))  +  (0.4*(G138-G138*'TAX reduces gains by'!$Y$20))  +  (0.4*(H138))</f>
        <v>6.3759999999999997E-3</v>
      </c>
      <c r="K138" s="135">
        <f t="shared" si="5"/>
        <v>64781.912917915484</v>
      </c>
      <c r="L138" s="6">
        <f t="shared" si="9"/>
        <v>65194.962394680115</v>
      </c>
    </row>
    <row r="139" spans="1:12" x14ac:dyDescent="0.25">
      <c r="A139" s="159">
        <v>2018</v>
      </c>
      <c r="B139" s="159">
        <v>10</v>
      </c>
      <c r="C139" s="160">
        <v>-8.77E-2</v>
      </c>
      <c r="D139" s="136">
        <f t="shared" si="8"/>
        <v>-7.9680000000000001E-2</v>
      </c>
      <c r="E139" s="161">
        <v>79043</v>
      </c>
      <c r="F139" s="186">
        <v>-5.5999999999999999E-3</v>
      </c>
      <c r="G139" s="186">
        <v>-0.1666</v>
      </c>
      <c r="H139" s="186">
        <v>-2.98E-2</v>
      </c>
      <c r="I139" s="136">
        <f>(0.2*(F139))  +  (0.4*(G139))  +  (0.4*(H139))</f>
        <v>-7.9680000000000001E-2</v>
      </c>
      <c r="K139" s="135">
        <f t="shared" si="5"/>
        <v>61861.962394680115</v>
      </c>
      <c r="L139" s="6">
        <f t="shared" si="9"/>
        <v>56932.801231072001</v>
      </c>
    </row>
    <row r="140" spans="1:12" x14ac:dyDescent="0.25">
      <c r="A140" s="159">
        <v>2018</v>
      </c>
      <c r="B140" s="159">
        <v>11</v>
      </c>
      <c r="C140" s="160">
        <v>1.67E-2</v>
      </c>
      <c r="D140" s="136">
        <f t="shared" si="8"/>
        <v>1.7440000000000004E-2</v>
      </c>
      <c r="E140" s="161">
        <v>77029</v>
      </c>
      <c r="F140" s="186">
        <v>1.04E-2</v>
      </c>
      <c r="G140" s="186">
        <v>-8.8999999999999999E-3</v>
      </c>
      <c r="H140" s="185">
        <v>4.7300000000000002E-2</v>
      </c>
      <c r="I140" s="136">
        <f>(0.2*(F140))  +  (0.4*(G140))  +  (0.4*(H140-H140*'TAX reduces gains by'!$Y$22))</f>
        <v>1.4982254901960783E-2</v>
      </c>
      <c r="K140" s="135">
        <f t="shared" si="5"/>
        <v>53599.801231072001</v>
      </c>
      <c r="L140" s="6">
        <f t="shared" si="9"/>
        <v>54402.847115810349</v>
      </c>
    </row>
    <row r="141" spans="1:12" x14ac:dyDescent="0.25">
      <c r="A141" s="159">
        <v>2018</v>
      </c>
      <c r="B141" s="159">
        <v>12</v>
      </c>
      <c r="C141" s="160">
        <v>-3.8100000000000002E-2</v>
      </c>
      <c r="D141" s="136">
        <f t="shared" si="8"/>
        <v>-3.8019999999999998E-2</v>
      </c>
      <c r="E141" s="161">
        <v>70759</v>
      </c>
      <c r="F141" s="185">
        <v>1.1900000000000001E-2</v>
      </c>
      <c r="G141" s="186">
        <v>-2.1299999999999999E-2</v>
      </c>
      <c r="H141" s="186">
        <v>-7.9699999999999993E-2</v>
      </c>
      <c r="I141" s="136">
        <f>(0.2*(F141-F141*'TAX reduces gains by'!$Y$23))  +  (0.4*(G141))  +  (0.4*(H141))</f>
        <v>-3.8141359773371103E-2</v>
      </c>
      <c r="K141" s="135">
        <f t="shared" si="5"/>
        <v>51069.847115810349</v>
      </c>
      <c r="L141" s="6">
        <f t="shared" si="9"/>
        <v>49121.973703395168</v>
      </c>
    </row>
    <row r="142" spans="1:12" x14ac:dyDescent="0.25">
      <c r="A142" s="159">
        <v>2019</v>
      </c>
      <c r="B142" s="159">
        <v>1</v>
      </c>
      <c r="C142" s="160">
        <v>6.7199999999999996E-2</v>
      </c>
      <c r="D142" s="136">
        <f t="shared" si="8"/>
        <v>6.7239999999999994E-2</v>
      </c>
      <c r="E142" s="161">
        <v>72184</v>
      </c>
      <c r="F142" s="185">
        <v>8.2000000000000007E-3</v>
      </c>
      <c r="G142" s="185">
        <v>4.6600000000000003E-2</v>
      </c>
      <c r="H142" s="185">
        <v>0.1174</v>
      </c>
      <c r="I142" s="136">
        <f>(0.2*(F142-F142*'TAX reduces gains by'!$Y$23))  +  (0.4*(G142-G142*'TAX reduces gains by'!$Y$20))  +  (0.4*(H142-H142*'TAX reduces gains by'!$Y$22))</f>
        <v>5.7328177859245683E-2</v>
      </c>
      <c r="K142" s="135">
        <f t="shared" si="5"/>
        <v>45788.973703395168</v>
      </c>
      <c r="L142" s="6">
        <f t="shared" si="9"/>
        <v>48413.972131855728</v>
      </c>
    </row>
    <row r="143" spans="1:12" x14ac:dyDescent="0.25">
      <c r="A143" s="159">
        <v>2019</v>
      </c>
      <c r="B143" s="159">
        <v>2</v>
      </c>
      <c r="C143" s="160">
        <v>4.0399999999999998E-2</v>
      </c>
      <c r="D143" s="136">
        <f t="shared" si="8"/>
        <v>4.104E-2</v>
      </c>
      <c r="E143" s="161">
        <v>71767</v>
      </c>
      <c r="F143" s="185">
        <v>5.0000000000000001E-3</v>
      </c>
      <c r="G143" s="185">
        <v>9.2899999999999996E-2</v>
      </c>
      <c r="H143" s="185">
        <v>7.1999999999999998E-3</v>
      </c>
      <c r="I143" s="136">
        <f>(0.2*(F143-F143*'TAX reduces gains by'!$Y$23))  +  (0.4*(G143-G143*'TAX reduces gains by'!$Y$20))  +  (0.4*(H143-H143*'TAX reduces gains by'!$Y$22))</f>
        <v>3.3182890851524746E-2</v>
      </c>
      <c r="K143" s="135">
        <f t="shared" si="5"/>
        <v>45080.972131855728</v>
      </c>
      <c r="L143" s="6">
        <f t="shared" si="9"/>
        <v>46576.889109587726</v>
      </c>
    </row>
    <row r="144" spans="1:12" x14ac:dyDescent="0.25">
      <c r="A144" s="159">
        <v>2019</v>
      </c>
      <c r="B144" s="159">
        <v>3</v>
      </c>
      <c r="C144" s="160">
        <v>3.6499999999999998E-2</v>
      </c>
      <c r="D144" s="136">
        <f t="shared" si="8"/>
        <v>3.5999999999999997E-2</v>
      </c>
      <c r="E144" s="161">
        <v>71052</v>
      </c>
      <c r="F144" s="185">
        <v>1.2999999999999999E-2</v>
      </c>
      <c r="G144" s="185">
        <v>4.1700000000000001E-2</v>
      </c>
      <c r="H144" s="185">
        <v>4.1799999999999997E-2</v>
      </c>
      <c r="I144" s="136">
        <f>(0.2*(F144-F144*'TAX reduces gains by'!$Y$23))  +  (0.4*(G144-G144*'TAX reduces gains by'!$Y$20))  +  (0.4*(H144-H144*'TAX reduces gains by'!$Y$22))</f>
        <v>3.0359461312003552E-2</v>
      </c>
      <c r="K144" s="135">
        <f t="shared" si="5"/>
        <v>43243.889109587726</v>
      </c>
      <c r="L144" s="6">
        <f t="shared" si="9"/>
        <v>44556.750287990828</v>
      </c>
    </row>
    <row r="145" spans="1:12" x14ac:dyDescent="0.25">
      <c r="A145" s="159">
        <v>2019</v>
      </c>
      <c r="B145" s="159">
        <v>4</v>
      </c>
      <c r="C145" s="160">
        <v>1.5800000000000002E-2</v>
      </c>
      <c r="D145" s="136">
        <f t="shared" si="8"/>
        <v>1.5340000000000001E-2</v>
      </c>
      <c r="E145" s="161">
        <v>68841</v>
      </c>
      <c r="F145" s="185">
        <v>2.8999999999999998E-3</v>
      </c>
      <c r="G145" s="185">
        <v>3.7900000000000003E-2</v>
      </c>
      <c r="H145" s="186">
        <v>-1E-3</v>
      </c>
      <c r="I145" s="136">
        <f>(0.2*(F145-F145*'TAX reduces gains by'!$Y$23))  +  (0.4*(G145-G145*'TAX reduces gains by'!$Y$20))  +  (0.4*(H145))</f>
        <v>1.2278424929178473E-2</v>
      </c>
      <c r="K145" s="135">
        <f t="shared" si="5"/>
        <v>41223.750287990828</v>
      </c>
      <c r="L145" s="6">
        <f t="shared" si="9"/>
        <v>41729.913011201126</v>
      </c>
    </row>
    <row r="146" spans="1:12" x14ac:dyDescent="0.25">
      <c r="A146" s="159">
        <v>2019</v>
      </c>
      <c r="B146" s="159">
        <v>5</v>
      </c>
      <c r="C146" s="160">
        <v>-7.1499999999999994E-2</v>
      </c>
      <c r="D146" s="136">
        <f t="shared" si="8"/>
        <v>-6.7080000000000001E-2</v>
      </c>
      <c r="E146" s="161">
        <v>60588</v>
      </c>
      <c r="F146" s="185">
        <v>1.3599999999999999E-2</v>
      </c>
      <c r="G146" s="186">
        <v>-0.17549999999999999</v>
      </c>
      <c r="H146" s="185">
        <v>1E-3</v>
      </c>
      <c r="I146" s="136">
        <f>(0.2*(F146-F146*'TAX reduces gains by'!$Y$23))  +  (0.4*(G146))  +  (0.4*(H146-H146*'TAX reduces gains by'!$Y$22))</f>
        <v>-6.7270657668166423E-2</v>
      </c>
      <c r="K146" s="135">
        <f t="shared" si="5"/>
        <v>38396.913011201126</v>
      </c>
      <c r="L146" s="6">
        <f t="shared" si="9"/>
        <v>35813.927420510248</v>
      </c>
    </row>
    <row r="147" spans="1:12" x14ac:dyDescent="0.25">
      <c r="A147" s="159">
        <v>2019</v>
      </c>
      <c r="B147" s="159">
        <v>6</v>
      </c>
      <c r="C147" s="160">
        <v>3.8699999999999998E-2</v>
      </c>
      <c r="D147" s="136">
        <f t="shared" si="8"/>
        <v>4.02E-2</v>
      </c>
      <c r="E147" s="161">
        <v>59600</v>
      </c>
      <c r="F147" s="185">
        <v>3.5999999999999999E-3</v>
      </c>
      <c r="G147" s="185">
        <v>8.1799999999999998E-2</v>
      </c>
      <c r="H147" s="185">
        <v>1.6899999999999998E-2</v>
      </c>
      <c r="I147" s="136">
        <f>(0.2*(F147-F147*'TAX reduces gains by'!$Y$23))  +  (0.4*(G147-G147*'TAX reduces gains by'!$Y$20))  +  (0.4*(H147-H147*'TAX reduces gains by'!$Y$22))</f>
        <v>3.2741148864078209E-2</v>
      </c>
      <c r="K147" s="135">
        <f t="shared" si="5"/>
        <v>32480.927420510248</v>
      </c>
      <c r="L147" s="6">
        <f t="shared" si="9"/>
        <v>33544.390300428495</v>
      </c>
    </row>
    <row r="148" spans="1:12" x14ac:dyDescent="0.25">
      <c r="A148" s="159">
        <v>2019</v>
      </c>
      <c r="B148" s="159">
        <v>7</v>
      </c>
      <c r="C148" s="160">
        <v>1.21E-2</v>
      </c>
      <c r="D148" s="136">
        <f t="shared" si="8"/>
        <v>1.1960000000000002E-2</v>
      </c>
      <c r="E148" s="161">
        <v>56990</v>
      </c>
      <c r="F148" s="185">
        <v>7.7999999999999996E-3</v>
      </c>
      <c r="G148" s="185">
        <v>1.0200000000000001E-2</v>
      </c>
      <c r="H148" s="185">
        <v>1.5800000000000002E-2</v>
      </c>
      <c r="I148" s="136">
        <f>(0.2*(F148-F148*'TAX reduces gains by'!$Y$23))  +  (0.4*(G148-G148*'TAX reduces gains by'!$Y$20))  +  (0.4*(H148-H148*'TAX reduces gains by'!$Y$22))</f>
        <v>1.0243472865633506E-2</v>
      </c>
      <c r="K148" s="135">
        <f t="shared" si="5"/>
        <v>30211.390300428495</v>
      </c>
      <c r="L148" s="6">
        <f t="shared" si="9"/>
        <v>30520.859857203999</v>
      </c>
    </row>
    <row r="149" spans="1:12" x14ac:dyDescent="0.25">
      <c r="A149" s="159">
        <v>2019</v>
      </c>
      <c r="B149" s="159">
        <v>8</v>
      </c>
      <c r="C149" s="160">
        <v>0.06</v>
      </c>
      <c r="D149" s="136">
        <f t="shared" si="8"/>
        <v>6.028E-2</v>
      </c>
      <c r="E149" s="161">
        <v>57077</v>
      </c>
      <c r="F149" s="185">
        <v>1.32E-2</v>
      </c>
      <c r="G149" s="185">
        <v>0.1065</v>
      </c>
      <c r="H149" s="185">
        <v>3.7600000000000001E-2</v>
      </c>
      <c r="I149" s="136">
        <f>(0.2*(F149-F149*'TAX reduces gains by'!$Y$23))  +  (0.4*(G149-G149*'TAX reduces gains by'!$Y$20))  +  (0.4*(H149-H149*'TAX reduces gains by'!$Y$22))</f>
        <v>4.9671656946064541E-2</v>
      </c>
      <c r="K149" s="135">
        <f t="shared" si="5"/>
        <v>27187.859857203999</v>
      </c>
      <c r="L149" s="6">
        <f t="shared" si="9"/>
        <v>28538.325905128717</v>
      </c>
    </row>
    <row r="150" spans="1:12" x14ac:dyDescent="0.25">
      <c r="A150" s="170">
        <v>2019</v>
      </c>
      <c r="B150" s="170">
        <v>9</v>
      </c>
      <c r="C150" s="171">
        <v>-1.6000000000000001E-3</v>
      </c>
      <c r="D150" s="136">
        <f t="shared" si="8"/>
        <v>-1.939999999999999E-3</v>
      </c>
      <c r="E150" s="172">
        <v>53650</v>
      </c>
      <c r="F150" s="186">
        <v>-7.4999999999999997E-3</v>
      </c>
      <c r="G150" s="186">
        <v>-0.02</v>
      </c>
      <c r="H150" s="187">
        <v>1.89E-2</v>
      </c>
      <c r="I150" s="136">
        <f>(0.2*(F150))  +  (0.4*(G150))  +  (0.4*(H150-H150*'TAX reduces gains by'!$Y$22))</f>
        <v>-2.922058823529413E-3</v>
      </c>
      <c r="K150" s="135">
        <f t="shared" si="5"/>
        <v>25205.325905128717</v>
      </c>
      <c r="L150" s="6">
        <f t="shared" si="9"/>
        <v>25131.674460167702</v>
      </c>
    </row>
    <row r="151" spans="1:12" x14ac:dyDescent="0.25">
      <c r="A151" s="159">
        <v>2019</v>
      </c>
      <c r="B151" s="159">
        <v>10</v>
      </c>
      <c r="C151" s="160">
        <v>1.2800000000000001E-2</v>
      </c>
      <c r="D151" s="136">
        <f t="shared" si="8"/>
        <v>1.252E-2</v>
      </c>
      <c r="E151" s="161">
        <v>51002</v>
      </c>
      <c r="F151" s="185">
        <v>1.4E-3</v>
      </c>
      <c r="G151" s="185">
        <v>0.02</v>
      </c>
      <c r="H151" s="185">
        <v>1.06E-2</v>
      </c>
      <c r="I151" s="136">
        <f>(0.2*(F151-F151*'TAX reduces gains by'!$Y$23))  +  (0.4*(G151-G151*'TAX reduces gains by'!$Y$20))  +  (0.4*(H151-H151*'TAX reduces gains by'!$Y$22))</f>
        <v>1.0354938065877908E-2</v>
      </c>
      <c r="K151" s="135">
        <f t="shared" si="5"/>
        <v>21798.674460167702</v>
      </c>
      <c r="L151" s="6">
        <f t="shared" si="9"/>
        <v>22024.398384120974</v>
      </c>
    </row>
    <row r="152" spans="1:12" x14ac:dyDescent="0.25">
      <c r="A152" s="9">
        <v>2019</v>
      </c>
      <c r="B152" s="9">
        <v>11</v>
      </c>
      <c r="C152" s="136">
        <v>1.54E-2</v>
      </c>
      <c r="D152" s="136">
        <f t="shared" si="8"/>
        <v>1.5599999999999999E-2</v>
      </c>
      <c r="E152" s="141">
        <v>48455</v>
      </c>
      <c r="F152" s="185">
        <v>1.4E-3</v>
      </c>
      <c r="G152" s="185">
        <v>5.11E-2</v>
      </c>
      <c r="H152" s="186">
        <v>-1.2800000000000001E-2</v>
      </c>
      <c r="I152" s="136">
        <f>(0.2*(F152-F152*'TAX reduces gains by'!$Y$23))  +  (0.4*(G152-G152*'TAX reduces gains by'!$Y$20))  +  (0.4*(H152))</f>
        <v>1.1497722379603403E-2</v>
      </c>
      <c r="K152" s="135">
        <f t="shared" si="5"/>
        <v>18691.398384120974</v>
      </c>
      <c r="L152" s="6">
        <f t="shared" si="9"/>
        <v>18906.306893628163</v>
      </c>
    </row>
    <row r="153" spans="1:12" x14ac:dyDescent="0.25">
      <c r="A153" s="156">
        <v>2019</v>
      </c>
      <c r="B153" s="156">
        <v>12</v>
      </c>
      <c r="C153" s="157">
        <v>1.26E-2</v>
      </c>
      <c r="D153" s="136">
        <f t="shared" si="8"/>
        <v>1.2299999999999998E-2</v>
      </c>
      <c r="E153" s="158">
        <v>45735</v>
      </c>
      <c r="F153" s="188">
        <v>3.5000000000000001E-3</v>
      </c>
      <c r="G153" s="188">
        <v>2.0899999999999998E-2</v>
      </c>
      <c r="H153" s="188">
        <v>8.0999999999999996E-3</v>
      </c>
      <c r="I153" s="136">
        <f>(0.2*(F153-F153*'TAX reduces gains by'!$Y$23))  +  (0.4*(G153-G153*'TAX reduces gains by'!$Y$20))  +  (0.4*(H153-H153*'TAX reduces gains by'!$Y$22))</f>
        <v>1.0171423596067321E-2</v>
      </c>
      <c r="K153" s="135">
        <f t="shared" si="5"/>
        <v>15573.306893628163</v>
      </c>
      <c r="L153" s="6">
        <f t="shared" si="9"/>
        <v>15731.709594834811</v>
      </c>
    </row>
    <row r="154" spans="1:12" x14ac:dyDescent="0.25">
      <c r="A154" s="9" t="s">
        <v>21</v>
      </c>
      <c r="D154" s="136">
        <f t="shared" si="8"/>
        <v>0</v>
      </c>
      <c r="L154" s="6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Summary Table - no TAX</vt:lpstr>
      <vt:lpstr>Summary Table - wTAX</vt:lpstr>
      <vt:lpstr>TAX reduces gains by</vt:lpstr>
      <vt:lpstr>METHOD1 - CASH</vt:lpstr>
      <vt:lpstr>METHOD2 - VTSAX wTAX- d</vt:lpstr>
      <vt:lpstr>METHOD3 - VWITX wTAX</vt:lpstr>
      <vt:lpstr>METHOD4 - VWIAX wTAX</vt:lpstr>
      <vt:lpstr>METHOD5 - Split 3 wTAX</vt:lpstr>
      <vt:lpstr>METHOD7-split 3+dividstock wTAX</vt:lpstr>
      <vt:lpstr>METHOD7A-split2+DLR+VWITX</vt:lpstr>
      <vt:lpstr>METHOD7B-split2+VGSIX+VWITX</vt:lpstr>
      <vt:lpstr>METHOD6-Split 3+dividfund wTAX </vt:lpstr>
      <vt:lpstr>METHOD6A - Split 2 + divid fund</vt:lpstr>
      <vt:lpstr>METHOD6B - Split 2+divid+rv%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2020-07-17T15:04:52Z</dcterms:created>
  <dcterms:modified xsi:type="dcterms:W3CDTF">2020-07-24T15:54:30Z</dcterms:modified>
</cp:coreProperties>
</file>