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WEBSITE\DB24_Endurance_Training_FatBurnZone_60420\"/>
    </mc:Choice>
  </mc:AlternateContent>
  <xr:revisionPtr revIDLastSave="0" documentId="8_{3A4E94DC-A792-4B11-B76F-455312D81B76}" xr6:coauthVersionLast="45" xr6:coauthVersionMax="45" xr10:uidLastSave="{00000000-0000-0000-0000-000000000000}"/>
  <bookViews>
    <workbookView xWindow="-120" yWindow="-120" windowWidth="20730" windowHeight="11160" firstSheet="2" activeTab="5" xr2:uid="{CB50B8EA-9E13-49C9-9237-D9A8123EFFA8}"/>
  </bookViews>
  <sheets>
    <sheet name="Electrolytes" sheetId="1" r:id="rId1"/>
    <sheet name="Recovery Drinks" sheetId="2" r:id="rId2"/>
    <sheet name="Protein SNACK" sheetId="3" r:id="rId3"/>
    <sheet name="REVS per year" sheetId="4" r:id="rId4"/>
    <sheet name="Periodization EX + Damage" sheetId="5" r:id="rId5"/>
    <sheet name="FAT Burn" sheetId="7" r:id="rId6"/>
    <sheet name="REFERENCES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2" i="7" l="1"/>
  <c r="J111" i="7"/>
  <c r="D59" i="7"/>
  <c r="J110" i="7"/>
  <c r="T51" i="7"/>
  <c r="T49" i="7"/>
  <c r="T48" i="7"/>
  <c r="H58" i="7" l="1"/>
  <c r="G60" i="7"/>
  <c r="G59" i="7"/>
  <c r="G62" i="7"/>
  <c r="B62" i="7"/>
  <c r="V85" i="7"/>
  <c r="W82" i="7"/>
  <c r="V82" i="7"/>
  <c r="V81" i="7"/>
  <c r="V80" i="7"/>
  <c r="V79" i="7"/>
  <c r="V73" i="7"/>
  <c r="V74" i="7" s="1"/>
  <c r="V75" i="7" s="1"/>
  <c r="V76" i="7" s="1"/>
  <c r="V77" i="7" s="1"/>
  <c r="V78" i="7" s="1"/>
  <c r="W66" i="7"/>
  <c r="V86" i="7"/>
  <c r="V87" i="7" s="1"/>
  <c r="V88" i="7" s="1"/>
  <c r="U85" i="7"/>
  <c r="W78" i="7"/>
  <c r="U73" i="7"/>
  <c r="U61" i="7"/>
  <c r="L85" i="7"/>
  <c r="M90" i="7"/>
  <c r="L86" i="7"/>
  <c r="L87" i="7" s="1"/>
  <c r="L88" i="7" s="1"/>
  <c r="L89" i="7" s="1"/>
  <c r="L90" i="7" s="1"/>
  <c r="K85" i="7"/>
  <c r="N85" i="7" s="1"/>
  <c r="K86" i="7" s="1"/>
  <c r="M78" i="7"/>
  <c r="L78" i="7"/>
  <c r="L77" i="7"/>
  <c r="L73" i="7"/>
  <c r="L74" i="7" s="1"/>
  <c r="L75" i="7" s="1"/>
  <c r="L76" i="7" s="1"/>
  <c r="K73" i="7"/>
  <c r="K61" i="7"/>
  <c r="M50" i="7"/>
  <c r="N50" i="7"/>
  <c r="P50" i="7"/>
  <c r="Q50" i="7"/>
  <c r="M51" i="7"/>
  <c r="N51" i="7"/>
  <c r="P51" i="7"/>
  <c r="Q51" i="7"/>
  <c r="P53" i="7"/>
  <c r="Q53" i="7"/>
  <c r="P54" i="7"/>
  <c r="Q54" i="7"/>
  <c r="P55" i="7"/>
  <c r="Q55" i="7"/>
  <c r="Q52" i="7"/>
  <c r="P52" i="7"/>
  <c r="N53" i="7"/>
  <c r="N54" i="7"/>
  <c r="N55" i="7"/>
  <c r="N52" i="7"/>
  <c r="M53" i="7"/>
  <c r="M54" i="7"/>
  <c r="M55" i="7"/>
  <c r="M52" i="7"/>
  <c r="Q43" i="7"/>
  <c r="P43" i="7"/>
  <c r="Q42" i="7"/>
  <c r="P42" i="7"/>
  <c r="Q41" i="7"/>
  <c r="P41" i="7"/>
  <c r="M43" i="7"/>
  <c r="L43" i="7"/>
  <c r="M42" i="7"/>
  <c r="L42" i="7"/>
  <c r="M41" i="7"/>
  <c r="L41" i="7"/>
  <c r="Q40" i="7"/>
  <c r="P40" i="7"/>
  <c r="M40" i="7"/>
  <c r="L40" i="7"/>
  <c r="C5" i="7"/>
  <c r="C6" i="7"/>
  <c r="C7" i="7"/>
  <c r="C8" i="7"/>
  <c r="C9" i="7"/>
  <c r="C10" i="7"/>
  <c r="C11" i="7"/>
  <c r="C12" i="7"/>
  <c r="C13" i="7"/>
  <c r="C4" i="7"/>
  <c r="G47" i="7"/>
  <c r="F47" i="7"/>
  <c r="C47" i="7"/>
  <c r="B47" i="7"/>
  <c r="H46" i="7"/>
  <c r="O43" i="7" s="1"/>
  <c r="E46" i="7"/>
  <c r="K43" i="7" s="1"/>
  <c r="H45" i="7"/>
  <c r="O41" i="7" s="1"/>
  <c r="E45" i="7"/>
  <c r="K41" i="7" s="1"/>
  <c r="H44" i="7"/>
  <c r="O40" i="7" s="1"/>
  <c r="G58" i="7" s="1"/>
  <c r="E44" i="7"/>
  <c r="K40" i="7" s="1"/>
  <c r="H43" i="7"/>
  <c r="E43" i="7"/>
  <c r="F54" i="7"/>
  <c r="F53" i="7"/>
  <c r="C54" i="7"/>
  <c r="C53" i="7"/>
  <c r="H39" i="7"/>
  <c r="H38" i="7"/>
  <c r="H40" i="7" s="1"/>
  <c r="H37" i="7"/>
  <c r="H36" i="7"/>
  <c r="G40" i="7"/>
  <c r="F40" i="7"/>
  <c r="C40" i="7"/>
  <c r="B40" i="7"/>
  <c r="E39" i="7"/>
  <c r="E38" i="7"/>
  <c r="E40" i="7" s="1"/>
  <c r="E37" i="7"/>
  <c r="E36" i="7"/>
  <c r="F33" i="7"/>
  <c r="G33" i="7"/>
  <c r="C33" i="7"/>
  <c r="B33" i="7"/>
  <c r="H32" i="7"/>
  <c r="H31" i="7"/>
  <c r="H33" i="7" s="1"/>
  <c r="H30" i="7"/>
  <c r="H29" i="7"/>
  <c r="E30" i="7"/>
  <c r="E31" i="7"/>
  <c r="E33" i="7" s="1"/>
  <c r="E32" i="7"/>
  <c r="E29" i="7"/>
  <c r="B5" i="7"/>
  <c r="B6" i="7"/>
  <c r="B7" i="7"/>
  <c r="B8" i="7"/>
  <c r="B9" i="7"/>
  <c r="B10" i="7"/>
  <c r="B11" i="7"/>
  <c r="B12" i="7"/>
  <c r="B13" i="7"/>
  <c r="B4" i="7"/>
  <c r="D11" i="7"/>
  <c r="I1" i="7"/>
  <c r="F5" i="7"/>
  <c r="F6" i="7"/>
  <c r="F7" i="7"/>
  <c r="F8" i="7"/>
  <c r="F9" i="7"/>
  <c r="F10" i="7"/>
  <c r="F11" i="7"/>
  <c r="F12" i="7"/>
  <c r="F13" i="7"/>
  <c r="F4" i="7"/>
  <c r="L54" i="7" l="1"/>
  <c r="L61" i="7"/>
  <c r="L51" i="7"/>
  <c r="L55" i="7"/>
  <c r="L52" i="7"/>
  <c r="L50" i="7"/>
  <c r="L53" i="7"/>
  <c r="O51" i="7"/>
  <c r="V61" i="7"/>
  <c r="V62" i="7" s="1"/>
  <c r="V63" i="7" s="1"/>
  <c r="V64" i="7" s="1"/>
  <c r="V65" i="7" s="1"/>
  <c r="V66" i="7" s="1"/>
  <c r="V67" i="7" s="1"/>
  <c r="O55" i="7"/>
  <c r="O50" i="7"/>
  <c r="O54" i="7"/>
  <c r="O52" i="7"/>
  <c r="O53" i="7"/>
  <c r="X85" i="7"/>
  <c r="U86" i="7" s="1"/>
  <c r="X86" i="7" s="1"/>
  <c r="U87" i="7" s="1"/>
  <c r="X87" i="7" s="1"/>
  <c r="U88" i="7" s="1"/>
  <c r="X88" i="7" s="1"/>
  <c r="U90" i="7" s="1"/>
  <c r="X73" i="7"/>
  <c r="U74" i="7" s="1"/>
  <c r="X74" i="7" s="1"/>
  <c r="U75" i="7" s="1"/>
  <c r="X75" i="7" s="1"/>
  <c r="U76" i="7" s="1"/>
  <c r="X76" i="7" s="1"/>
  <c r="U77" i="7" s="1"/>
  <c r="X77" i="7" s="1"/>
  <c r="U78" i="7" s="1"/>
  <c r="X78" i="7" s="1"/>
  <c r="U79" i="7" s="1"/>
  <c r="X79" i="7" s="1"/>
  <c r="U80" i="7" s="1"/>
  <c r="X80" i="7" s="1"/>
  <c r="U81" i="7" s="1"/>
  <c r="X81" i="7" s="1"/>
  <c r="U82" i="7" s="1"/>
  <c r="X82" i="7" s="1"/>
  <c r="N86" i="7"/>
  <c r="K87" i="7" s="1"/>
  <c r="N87" i="7" s="1"/>
  <c r="K88" i="7" s="1"/>
  <c r="N88" i="7" s="1"/>
  <c r="K89" i="7" s="1"/>
  <c r="N89" i="7" s="1"/>
  <c r="K90" i="7" s="1"/>
  <c r="N90" i="7" s="1"/>
  <c r="N73" i="7"/>
  <c r="K74" i="7" s="1"/>
  <c r="N74" i="7" s="1"/>
  <c r="K75" i="7" s="1"/>
  <c r="N75" i="7" s="1"/>
  <c r="K76" i="7" s="1"/>
  <c r="N76" i="7" s="1"/>
  <c r="K77" i="7" s="1"/>
  <c r="N77" i="7" s="1"/>
  <c r="K78" i="7" s="1"/>
  <c r="N78" i="7" s="1"/>
  <c r="H47" i="7"/>
  <c r="O42" i="7" s="1"/>
  <c r="E47" i="7"/>
  <c r="K42" i="7" s="1"/>
  <c r="V41" i="5"/>
  <c r="U41" i="5"/>
  <c r="V40" i="5"/>
  <c r="V42" i="5" s="1"/>
  <c r="U40" i="5"/>
  <c r="U42" i="5" s="1"/>
  <c r="V34" i="5"/>
  <c r="V33" i="5"/>
  <c r="V32" i="5"/>
  <c r="U34" i="5"/>
  <c r="U33" i="5"/>
  <c r="U32" i="5"/>
  <c r="X61" i="7" l="1"/>
  <c r="U62" i="7" s="1"/>
  <c r="X62" i="7" s="1"/>
  <c r="U63" i="7" s="1"/>
  <c r="X63" i="7" s="1"/>
  <c r="U64" i="7" s="1"/>
  <c r="X64" i="7" s="1"/>
  <c r="U65" i="7" s="1"/>
  <c r="X65" i="7" s="1"/>
  <c r="U66" i="7" s="1"/>
  <c r="X66" i="7" s="1"/>
  <c r="U67" i="7" s="1"/>
  <c r="X67" i="7" s="1"/>
  <c r="N61" i="7"/>
  <c r="K62" i="7" s="1"/>
  <c r="N62" i="7" s="1"/>
  <c r="K63" i="7" s="1"/>
  <c r="N63" i="7" s="1"/>
  <c r="K64" i="7" s="1"/>
  <c r="N64" i="7" s="1"/>
  <c r="K65" i="7" s="1"/>
  <c r="N65" i="7" s="1"/>
  <c r="L62" i="7"/>
  <c r="L63" i="7" s="1"/>
  <c r="L64" i="7" s="1"/>
  <c r="L65" i="7" s="1"/>
  <c r="N44" i="5"/>
  <c r="F44" i="5"/>
  <c r="J44" i="5"/>
  <c r="N36" i="5"/>
  <c r="J36" i="5"/>
  <c r="F36" i="5"/>
  <c r="M53" i="5"/>
  <c r="I53" i="5"/>
  <c r="Q53" i="5" s="1"/>
  <c r="E53" i="5"/>
  <c r="Q49" i="5"/>
  <c r="M44" i="5"/>
  <c r="I44" i="5"/>
  <c r="E44" i="5"/>
  <c r="Q40" i="5"/>
  <c r="M36" i="5"/>
  <c r="I36" i="5"/>
  <c r="E36" i="5"/>
  <c r="Q32" i="5"/>
  <c r="Q23" i="5"/>
  <c r="Q14" i="5"/>
  <c r="M26" i="5"/>
  <c r="I26" i="5"/>
  <c r="E26" i="5"/>
  <c r="Q26" i="5" s="1"/>
  <c r="Q22" i="5"/>
  <c r="M17" i="5"/>
  <c r="I17" i="5"/>
  <c r="E17" i="5"/>
  <c r="Q13" i="5"/>
  <c r="Q9" i="5"/>
  <c r="Q5" i="5"/>
  <c r="M9" i="5"/>
  <c r="I9" i="5"/>
  <c r="E9" i="5"/>
  <c r="C4" i="4"/>
  <c r="Q36" i="5" l="1"/>
  <c r="Q50" i="5"/>
  <c r="Q44" i="5"/>
  <c r="Q54" i="5" s="1"/>
  <c r="Q41" i="5"/>
  <c r="Q17" i="5"/>
  <c r="J22" i="3"/>
  <c r="I22" i="3"/>
  <c r="I21" i="3"/>
  <c r="I20" i="3"/>
  <c r="F28" i="3"/>
  <c r="E28" i="3"/>
  <c r="F27" i="3"/>
  <c r="E27" i="3"/>
  <c r="I14" i="3"/>
  <c r="G20" i="3"/>
  <c r="F20" i="3"/>
  <c r="E20" i="3"/>
  <c r="J10" i="3"/>
  <c r="J9" i="3"/>
  <c r="J8" i="3"/>
  <c r="J4" i="3"/>
  <c r="J7" i="3"/>
  <c r="J6" i="3"/>
  <c r="J5" i="3"/>
  <c r="I10" i="3"/>
  <c r="H10" i="3"/>
  <c r="G10" i="3"/>
  <c r="F10" i="3"/>
  <c r="E10" i="3"/>
  <c r="I9" i="3"/>
  <c r="F9" i="3"/>
  <c r="E9" i="3"/>
  <c r="H9" i="3"/>
  <c r="I8" i="3"/>
  <c r="H8" i="3"/>
  <c r="G8" i="3"/>
  <c r="F8" i="3"/>
  <c r="E8" i="3"/>
  <c r="I7" i="3"/>
  <c r="H7" i="3"/>
  <c r="I6" i="3"/>
  <c r="H6" i="3"/>
  <c r="G6" i="3"/>
  <c r="F6" i="3"/>
  <c r="Q18" i="5" l="1"/>
  <c r="Q27" i="5"/>
  <c r="Q45" i="5"/>
  <c r="J11" i="3"/>
  <c r="J12" i="3" s="1"/>
  <c r="J13" i="3" s="1"/>
  <c r="E6" i="3"/>
  <c r="I5" i="3"/>
  <c r="G4" i="3"/>
  <c r="G11" i="3" s="1"/>
  <c r="F4" i="3"/>
  <c r="E4" i="3"/>
  <c r="I4" i="3"/>
  <c r="F7" i="3"/>
  <c r="H4" i="3"/>
  <c r="F4" i="4"/>
  <c r="I17" i="3"/>
  <c r="G28" i="3" s="1"/>
  <c r="I16" i="3"/>
  <c r="G27" i="3" s="1"/>
  <c r="F14" i="3"/>
  <c r="G14" i="3"/>
  <c r="H14" i="3"/>
  <c r="E14" i="3"/>
  <c r="F11" i="3" l="1"/>
  <c r="F12" i="3" s="1"/>
  <c r="F13" i="3" s="1"/>
  <c r="I11" i="3"/>
  <c r="H11" i="3"/>
  <c r="H12" i="3" s="1"/>
  <c r="H13" i="3" s="1"/>
  <c r="E11" i="3"/>
  <c r="E12" i="3" s="1"/>
  <c r="E13" i="3" s="1"/>
  <c r="G12" i="3"/>
  <c r="G13" i="3" s="1"/>
  <c r="I12" i="3" l="1"/>
  <c r="I13" i="3" s="1"/>
  <c r="N11" i="3"/>
  <c r="N12" i="3" s="1"/>
  <c r="P44" i="2"/>
  <c r="O44" i="2"/>
  <c r="M46" i="2"/>
  <c r="O11" i="3" l="1"/>
  <c r="N13" i="3"/>
  <c r="D42" i="2"/>
  <c r="E42" i="2"/>
  <c r="F42" i="2"/>
  <c r="G42" i="2"/>
  <c r="H42" i="2"/>
  <c r="C42" i="2"/>
  <c r="D45" i="2"/>
  <c r="E45" i="2"/>
  <c r="F45" i="2"/>
  <c r="G45" i="2"/>
  <c r="H45" i="2"/>
  <c r="D43" i="2"/>
  <c r="E43" i="2"/>
  <c r="F43" i="2"/>
  <c r="G43" i="2"/>
  <c r="H43" i="2"/>
  <c r="C45" i="2"/>
  <c r="C43" i="2"/>
  <c r="E39" i="2"/>
  <c r="H39" i="2"/>
  <c r="M1" i="2" l="1"/>
  <c r="O1" i="2" s="1"/>
  <c r="G39" i="2"/>
  <c r="Q1" i="2" l="1"/>
  <c r="F39" i="2"/>
  <c r="D39" i="2"/>
  <c r="C39" i="2"/>
  <c r="D14" i="1"/>
  <c r="D13" i="1"/>
  <c r="D10" i="1"/>
  <c r="E14" i="1"/>
  <c r="E10" i="1"/>
  <c r="C14" i="1"/>
  <c r="C10" i="1"/>
</calcChain>
</file>

<file path=xl/sharedStrings.xml><?xml version="1.0" encoding="utf-8"?>
<sst xmlns="http://schemas.openxmlformats.org/spreadsheetml/2006/main" count="619" uniqueCount="337">
  <si>
    <t>Calories</t>
  </si>
  <si>
    <t>Carbohydrates</t>
  </si>
  <si>
    <t>Sugars</t>
  </si>
  <si>
    <t>g</t>
  </si>
  <si>
    <t>Vit C</t>
  </si>
  <si>
    <t>mg</t>
  </si>
  <si>
    <t>Vit C (as ascorbic acid)</t>
  </si>
  <si>
    <t>Sodium</t>
  </si>
  <si>
    <t>Sodium (sodium bicarbonate, sodium carbonate)</t>
  </si>
  <si>
    <t>Potassium (potassium bicarbonate)</t>
  </si>
  <si>
    <t>Potassium / Sodium ratio</t>
  </si>
  <si>
    <t>Cost</t>
  </si>
  <si>
    <t>Cost/serving</t>
  </si>
  <si>
    <t>$</t>
  </si>
  <si>
    <t>Other stuff</t>
  </si>
  <si>
    <t>Magnesium</t>
  </si>
  <si>
    <t>Chloride</t>
  </si>
  <si>
    <t>Sulfate</t>
  </si>
  <si>
    <t>Serving (tablet, tsp, tsp)</t>
  </si>
  <si>
    <t>1/2</t>
  </si>
  <si>
    <t># of servings/container</t>
  </si>
  <si>
    <t>Zinc</t>
  </si>
  <si>
    <r>
      <rPr>
        <b/>
        <sz val="8"/>
        <color theme="1"/>
        <rFont val="Calibri"/>
        <family val="2"/>
        <scheme val="minor"/>
      </rPr>
      <t xml:space="preserve">Nuun </t>
    </r>
    <r>
      <rPr>
        <sz val="8"/>
        <color theme="1"/>
        <rFont val="Calibri"/>
        <family val="2"/>
        <scheme val="minor"/>
      </rPr>
      <t>Hydration: Electrolyte Drink Tablets</t>
    </r>
  </si>
  <si>
    <r>
      <rPr>
        <b/>
        <sz val="8"/>
        <color theme="1"/>
        <rFont val="Calibri"/>
        <family val="2"/>
        <scheme val="minor"/>
      </rPr>
      <t>LyteShow</t>
    </r>
    <r>
      <rPr>
        <sz val="8"/>
        <color theme="1"/>
        <rFont val="Calibri"/>
        <family val="2"/>
        <scheme val="minor"/>
      </rPr>
      <t xml:space="preserve"> (3 Bottles) - Electrolyte Concentrate for Rapid Rehydration - NO Sugars, NO Additives</t>
    </r>
  </si>
  <si>
    <r>
      <rPr>
        <b/>
        <sz val="8"/>
        <color theme="1"/>
        <rFont val="Calibri"/>
        <family val="2"/>
        <scheme val="minor"/>
      </rPr>
      <t>Trace Minerals Research</t>
    </r>
    <r>
      <rPr>
        <sz val="8"/>
        <color theme="1"/>
        <rFont val="Calibri"/>
        <family val="2"/>
        <scheme val="minor"/>
      </rPr>
      <t xml:space="preserve"> , Endure, Performance Electrolyte, 4-Ounce Bottle</t>
    </r>
  </si>
  <si>
    <t>NOW Sports Pea Protein Powder,2-Pound</t>
  </si>
  <si>
    <t>OK</t>
  </si>
  <si>
    <t>Total Fat</t>
  </si>
  <si>
    <t>Cholesterol</t>
  </si>
  <si>
    <t>Total carb</t>
  </si>
  <si>
    <t>Protein</t>
  </si>
  <si>
    <t>Calcium</t>
  </si>
  <si>
    <t>Iron</t>
  </si>
  <si>
    <t>L-Isoleucine</t>
  </si>
  <si>
    <t>L-Leucine</t>
  </si>
  <si>
    <t>L-Lysine</t>
  </si>
  <si>
    <t>L-Methionine</t>
  </si>
  <si>
    <t>L-Phenylanine</t>
  </si>
  <si>
    <t>L-Threonne</t>
  </si>
  <si>
    <t>L-Typtophan</t>
  </si>
  <si>
    <t>L-Valine</t>
  </si>
  <si>
    <t>BCAA - EAA</t>
  </si>
  <si>
    <t>BCAA - non EAA</t>
  </si>
  <si>
    <t>L-Alanine</t>
  </si>
  <si>
    <t>L-Arginine</t>
  </si>
  <si>
    <t>L-Aspartic Acid</t>
  </si>
  <si>
    <t>L-Cysteine</t>
  </si>
  <si>
    <t>L-Glutamic Acid</t>
  </si>
  <si>
    <t>Glycine</t>
  </si>
  <si>
    <t>L-Proline</t>
  </si>
  <si>
    <t>L-Serine</t>
  </si>
  <si>
    <t>L-Tyrosine</t>
  </si>
  <si>
    <t>Trader Joes Organic Pea Protein</t>
  </si>
  <si>
    <t>Serving Size - scoop</t>
  </si>
  <si>
    <t xml:space="preserve">Serving Size  </t>
  </si>
  <si>
    <t>GREAT</t>
  </si>
  <si>
    <t>Servings per container</t>
  </si>
  <si>
    <t xml:space="preserve"> </t>
  </si>
  <si>
    <t>units</t>
  </si>
  <si>
    <t>GOOD</t>
  </si>
  <si>
    <t>OK, twice as much</t>
  </si>
  <si>
    <t>YES, best deal</t>
  </si>
  <si>
    <t>NO, not enough stuff</t>
  </si>
  <si>
    <t>BodyTech BCAA Glutamine Supports Muscle Endurance, Growth Recovery with Essential Amino Acids</t>
  </si>
  <si>
    <t>$/serv</t>
  </si>
  <si>
    <t>YES, use</t>
  </si>
  <si>
    <t>Only for Flavor, not enough stuff &amp; expensive</t>
  </si>
  <si>
    <t>YES, but just BCAA, no protein</t>
  </si>
  <si>
    <t>min g protein</t>
  </si>
  <si>
    <t>max g protein</t>
  </si>
  <si>
    <t>Mixes - how well?</t>
  </si>
  <si>
    <r>
      <t>OK, Protein,</t>
    </r>
    <r>
      <rPr>
        <b/>
        <sz val="8"/>
        <color theme="1"/>
        <rFont val="Calibri"/>
        <family val="2"/>
        <scheme val="minor"/>
      </rPr>
      <t xml:space="preserve"> NO BCAA</t>
    </r>
  </si>
  <si>
    <t xml:space="preserve">VEGA Organic Protein &amp; Greens    </t>
  </si>
  <si>
    <t>Summary</t>
  </si>
  <si>
    <t>How well mix?</t>
  </si>
  <si>
    <t>Composition</t>
  </si>
  <si>
    <t>Cost - Dollars/Serving</t>
  </si>
  <si>
    <t>Protein + BCAA</t>
  </si>
  <si>
    <t>Opinion</t>
  </si>
  <si>
    <t>Best deal</t>
  </si>
  <si>
    <t>Good deal</t>
  </si>
  <si>
    <t>Expensive</t>
  </si>
  <si>
    <t>BCAA only</t>
  </si>
  <si>
    <t>Supplement</t>
  </si>
  <si>
    <r>
      <t xml:space="preserve">OK, Protein + Vitamins, </t>
    </r>
    <r>
      <rPr>
        <b/>
        <sz val="8"/>
        <color theme="1"/>
        <rFont val="Calibri"/>
        <family val="2"/>
        <scheme val="minor"/>
      </rPr>
      <t>NO BCAA</t>
    </r>
  </si>
  <si>
    <t>wt. lb.</t>
  </si>
  <si>
    <t>wt. kg</t>
  </si>
  <si>
    <t>Potassium</t>
  </si>
  <si>
    <t>L-Histidine</t>
  </si>
  <si>
    <t>Protein + Vitamins, NO BCAA</t>
  </si>
  <si>
    <t>Protein only</t>
  </si>
  <si>
    <t>Arbonne Vanilla Protein Shake Mix (Powder) #2070</t>
  </si>
  <si>
    <t>The Myers Way Paleo Protein</t>
  </si>
  <si>
    <t>All pricing from Amazon except Trader Joes &amp; Arbonne, timing ~ 5/2020</t>
  </si>
  <si>
    <t>Notes:</t>
  </si>
  <si>
    <t>per week</t>
  </si>
  <si>
    <t>7 beats =</t>
  </si>
  <si>
    <t>weeks</t>
  </si>
  <si>
    <t>cost saving</t>
  </si>
  <si>
    <t>Pea Protein Powder</t>
  </si>
  <si>
    <t>Vanilla Extract</t>
  </si>
  <si>
    <t>Eggs</t>
  </si>
  <si>
    <t>Number</t>
  </si>
  <si>
    <t>Units</t>
  </si>
  <si>
    <t>tsp</t>
  </si>
  <si>
    <t>Coconut Milk</t>
  </si>
  <si>
    <t>cup</t>
  </si>
  <si>
    <t>Brown sugar</t>
  </si>
  <si>
    <t>scoop (33 g)</t>
  </si>
  <si>
    <t>(grams)</t>
  </si>
  <si>
    <t>Glutenous Rice Flour</t>
  </si>
  <si>
    <t>50 g/large</t>
  </si>
  <si>
    <t>Per square (16 squares total)</t>
  </si>
  <si>
    <t xml:space="preserve"> eating two squares per sitting</t>
  </si>
  <si>
    <t>AMZN $35.88/12 pack 32 oz each</t>
  </si>
  <si>
    <t>AMZN $5.35/16 oz</t>
  </si>
  <si>
    <t>AMZN $29.20 / 12 pack</t>
  </si>
  <si>
    <t>Cliffbar (2.4 oz per bar)</t>
  </si>
  <si>
    <t>AMZN $24.52 / 12 pack</t>
  </si>
  <si>
    <t>AMZN $18.37</t>
  </si>
  <si>
    <t>AMZN $9.46 for two 16 oz</t>
  </si>
  <si>
    <t>RXBAR (1.8 oz per bar)</t>
  </si>
  <si>
    <t>Chocolate Chips</t>
  </si>
  <si>
    <t>AMZN $5.29/</t>
  </si>
  <si>
    <t>Taste</t>
  </si>
  <si>
    <t>Good</t>
  </si>
  <si>
    <t>OK, very hard</t>
  </si>
  <si>
    <t>hrs/wk</t>
  </si>
  <si>
    <t>rpm / hr</t>
  </si>
  <si>
    <t>wks / year</t>
  </si>
  <si>
    <t>Damage</t>
  </si>
  <si>
    <t>Aldi's $0.79/dozen</t>
  </si>
  <si>
    <t>AMZN $2/fluid oz  = ~ $0.33 / tsp</t>
  </si>
  <si>
    <t>input</t>
  </si>
  <si>
    <t>Total for two 6 X 9  pans</t>
  </si>
  <si>
    <t>Weight</t>
  </si>
  <si>
    <t>(oz)</t>
  </si>
  <si>
    <t>weight</t>
  </si>
  <si>
    <t>Protein (g)</t>
  </si>
  <si>
    <t>Carbohydrate (g)</t>
  </si>
  <si>
    <t>Fat (g)</t>
  </si>
  <si>
    <t>Variation Studies</t>
  </si>
  <si>
    <t>Cost ($)</t>
  </si>
  <si>
    <t>(US dollars)</t>
  </si>
  <si>
    <r>
      <t xml:space="preserve">+ 2 scoops protein powder </t>
    </r>
    <r>
      <rPr>
        <sz val="9"/>
        <color theme="1"/>
        <rFont val="Calibri"/>
        <family val="2"/>
        <scheme val="minor"/>
      </rPr>
      <t>( 2 to 4 sc)</t>
    </r>
  </si>
  <si>
    <r>
      <t xml:space="preserve">+ 4 eggs </t>
    </r>
    <r>
      <rPr>
        <sz val="10"/>
        <color theme="1"/>
        <rFont val="Calibri"/>
        <family val="2"/>
        <scheme val="minor"/>
      </rPr>
      <t>(from 8 to 12 total)</t>
    </r>
  </si>
  <si>
    <r>
      <t xml:space="preserve">- NO choc chips </t>
    </r>
    <r>
      <rPr>
        <sz val="10"/>
        <color theme="1"/>
        <rFont val="Calibri"/>
        <family val="2"/>
        <scheme val="minor"/>
      </rPr>
      <t>(1/4 cup to zero)</t>
    </r>
  </si>
  <si>
    <t>- 1/4 C sugar (1/2 to 1/4 C)</t>
  </si>
  <si>
    <t>RXBAR</t>
  </si>
  <si>
    <t>Cliffbar</t>
  </si>
  <si>
    <t>Home made bars - Base (~ 2 bars)</t>
  </si>
  <si>
    <t>taste</t>
  </si>
  <si>
    <t>total Revolutions Per Year</t>
  </si>
  <si>
    <t>BASE BUILDING</t>
  </si>
  <si>
    <t>Week1</t>
  </si>
  <si>
    <t>Mon</t>
  </si>
  <si>
    <t>Tue</t>
  </si>
  <si>
    <t>Wed</t>
  </si>
  <si>
    <t>Thu</t>
  </si>
  <si>
    <t>Fri</t>
  </si>
  <si>
    <t>Sat</t>
  </si>
  <si>
    <t>Sun</t>
  </si>
  <si>
    <t>OFF</t>
  </si>
  <si>
    <t xml:space="preserve"> 120 min</t>
  </si>
  <si>
    <t>Zone: 2</t>
  </si>
  <si>
    <t xml:space="preserve"> 180 min</t>
  </si>
  <si>
    <t xml:space="preserve"> 240 min</t>
  </si>
  <si>
    <t>Total</t>
  </si>
  <si>
    <t>Week2</t>
  </si>
  <si>
    <t xml:space="preserve"> 210 min</t>
  </si>
  <si>
    <t>% increase</t>
  </si>
  <si>
    <t xml:space="preserve"> 270 min</t>
  </si>
  <si>
    <t>Zone:</t>
  </si>
  <si>
    <t>% decrease</t>
  </si>
  <si>
    <t>Adding speed</t>
  </si>
  <si>
    <t>Included interval</t>
  </si>
  <si>
    <t>Zone: 4</t>
  </si>
  <si>
    <t>6 reps X 5 min w 1 min rest</t>
  </si>
  <si>
    <t>8 reps X 5 min w 1 min rest</t>
  </si>
  <si>
    <t>10 reps X 30s on hills</t>
  </si>
  <si>
    <t>Zone: 7</t>
  </si>
  <si>
    <t xml:space="preserve"> 150 min</t>
  </si>
  <si>
    <t>Rest week</t>
  </si>
  <si>
    <t xml:space="preserve">Intervals </t>
  </si>
  <si>
    <t>%</t>
  </si>
  <si>
    <t>Time</t>
  </si>
  <si>
    <t>References</t>
  </si>
  <si>
    <t>All HR Zone 2 calc types</t>
  </si>
  <si>
    <t>http://naturalrunningcenter.com/2017/02/19/part-2-determining-heart-rate-zones/</t>
  </si>
  <si>
    <t xml:space="preserve">Dr Mark's desk </t>
  </si>
  <si>
    <t>w intervals</t>
  </si>
  <si>
    <t>https://www.evoq.bike/blog/2019/3/20/tempo-the-silent-killer</t>
  </si>
  <si>
    <t>Tempo</t>
  </si>
  <si>
    <t>Intervals</t>
  </si>
  <si>
    <t>https://fascatcoaching.com/tips/sweet-spot-training/</t>
  </si>
  <si>
    <t>sweet spot training</t>
  </si>
  <si>
    <t>time crunched</t>
  </si>
  <si>
    <t>https://trainright.com/cycling-base-training-dos-and-donts-for-amateur-and-masters-cyclists/</t>
  </si>
  <si>
    <t>https://www.roadbikerider.com/cyclists-intensity-training-maximum-benefit/</t>
  </si>
  <si>
    <t>zones</t>
  </si>
  <si>
    <t>http://www.cptips.com/intervl.htm</t>
  </si>
  <si>
    <t>rest time</t>
  </si>
  <si>
    <t>https://www.runnersworld.com/advanced/a20803666/how-much-rest-should-you-take-between-intervals/</t>
  </si>
  <si>
    <t>HIIT</t>
  </si>
  <si>
    <t>https://www.nextavenue.org/high-intensity-interval-training/</t>
  </si>
  <si>
    <t>https://physoc.onlinelibrary.wiley.com/doi/full/10.1113/jphysiol.2011.224725</t>
  </si>
  <si>
    <t>Impact on heart disease - paper</t>
  </si>
  <si>
    <t>High-intensity aerobic interval training increases fat and carbohydrate metabolic capacities in human skeletal muscle - paper</t>
  </si>
  <si>
    <t>https://www.nrcresearchpress.com/doi/abs/10.1139/H08-097#.Xs_nUDpKjIX</t>
  </si>
  <si>
    <t>intervals all - good results short interval instead of recovery ride/rest</t>
  </si>
  <si>
    <t>https://blog.sme.sk/blog/3928/155928/Burgomaster_2005.pdf</t>
  </si>
  <si>
    <t>file:///C:/Users/John/Documents/WEBSITE/DB23_Endurance_Training_adding_Intervals_52820/6_2016_AI_Eskew_Mark_Allenon_Heart_Rate_Training.pdf</t>
  </si>
  <si>
    <t>Mark Allen</t>
  </si>
  <si>
    <t>https://www.phoenix.gov/fire/directory/health-center/health-and-fitness-newsletters/exercise-workouts/trainingallen</t>
  </si>
  <si>
    <t>Mark Allen - key</t>
  </si>
  <si>
    <t>paper - buromaster - key</t>
  </si>
  <si>
    <t>under - Intervals will improve endurance performance as well</t>
  </si>
  <si>
    <t>https://pubmed.ncbi.nlm.nih.gov/9007451/</t>
  </si>
  <si>
    <t>paper -  A. R. Weston</t>
  </si>
  <si>
    <t>https://pubmed.ncbi.nlm.nih.gov/20840558/</t>
  </si>
  <si>
    <t>paper - F. M. Iaia</t>
  </si>
  <si>
    <t>https://www.inverse.com/mind-body/lose-weight-how-to-get-in-the-fat-burnin</t>
  </si>
  <si>
    <t>Fat burn article (3)</t>
  </si>
  <si>
    <t>Fat burn article (2)</t>
  </si>
  <si>
    <t xml:space="preserve">Fat burn book (1) </t>
  </si>
  <si>
    <t>Base Building for Cyclists by Thomas Chapple</t>
  </si>
  <si>
    <t>https://www.cyclingweekly.com/fitness/how-to-burn-fat-cycling-163887</t>
  </si>
  <si>
    <t>https://www.outsideonline.com/2401498/interval-workouts-study</t>
  </si>
  <si>
    <t xml:space="preserve">Intervals vs. SS calorie burn rate (4) </t>
  </si>
  <si>
    <t>Fat burn article (5) - Key summary - 50-72% of VO2max</t>
  </si>
  <si>
    <t>https://www.nzherald.co.nz/lifestyle/news/article.cfm?c_id=6&amp;objectid=12335437</t>
  </si>
  <si>
    <t>Fat burn paper (6) - Key data for above</t>
  </si>
  <si>
    <t>https://www.ncbi.nlm.nih.gov/pmc/articles/PMC5974542/</t>
  </si>
  <si>
    <t>https://journals.lww.com/acsm-msse/Fulltext/2002/01000/Determination_of_the_exercise_intensity_that.15.aspx</t>
  </si>
  <si>
    <t>Fat burn paper (7) - Key data 74% MHR</t>
  </si>
  <si>
    <t>https://www.telegraph.co.uk/health-fitness/body/secret-science-cycling-fitness-tour-de-france-pro/</t>
  </si>
  <si>
    <t>Fat burn article (8) - Tour pro - takes 20 minutes to get back into fat burn zone after 15s at FTP</t>
  </si>
  <si>
    <t>same as (5) which is (9)</t>
  </si>
  <si>
    <t>https://theconversation.com/fat-burning-zone-the-best-way-to-exercise-to-burn-fat-138662</t>
  </si>
  <si>
    <t>http://lowcarbstudies.com/athletics/2018/07/04/exercise-intensity-and-fat-burning/</t>
  </si>
  <si>
    <t>Fat burn article (10) and link to zack bitter.   Two cases 52% VO2 max and 75% VO2 max (pro zack)</t>
  </si>
  <si>
    <t>https://www.jupiterhealth.com.au/metabolism-explained/metabolism-during-exercise/</t>
  </si>
  <si>
    <t>Fat burn article (11) - two simple KEY curves</t>
  </si>
  <si>
    <t>https://andrewskurka.com/metabolic-efficiency-test-results-hiking-running/</t>
  </si>
  <si>
    <t>Fat burn article (12) one persons data 240 cal/hr to 100-150 cal/hr by testing</t>
  </si>
  <si>
    <t>http://crossfitslipstream.com/2018/05/18/torch-fat-and-feel-great-with-burn45/</t>
  </si>
  <si>
    <t>Fat burn article (15) - burn45 cross fit</t>
  </si>
  <si>
    <t>https://philmaffetone.com/white-paper-maf-exercise-heart-rate-can-help-improve-health-sports-performance/it</t>
  </si>
  <si>
    <t>Fat burn article (14) MAF white paper - KEY with David Allen</t>
  </si>
  <si>
    <t>fat</t>
  </si>
  <si>
    <t>sugar</t>
  </si>
  <si>
    <t>NEED Sally Edwards</t>
  </si>
  <si>
    <t>% MHR</t>
  </si>
  <si>
    <t>=180 - age</t>
  </si>
  <si>
    <t xml:space="preserve">Mike Pigg, triathlete from MAF </t>
  </si>
  <si>
    <t xml:space="preserve">2009 Paper </t>
  </si>
  <si>
    <t>Males</t>
  </si>
  <si>
    <t>HR</t>
  </si>
  <si>
    <t>Aerobic</t>
  </si>
  <si>
    <t>Fat Burn</t>
  </si>
  <si>
    <t>Fat cal/min</t>
  </si>
  <si>
    <t>Total cal/min</t>
  </si>
  <si>
    <t>AVG</t>
  </si>
  <si>
    <t>% Fat/Total cal/min</t>
  </si>
  <si>
    <t>Females</t>
  </si>
  <si>
    <t>Aerobic Zone, Men = 13-36% or 22% average AND Women 9% - 31% or average 18% for %Fat/Total cal/min burned.</t>
  </si>
  <si>
    <t>FatBurn Zone, Men = 49-34%, or 40% average AND Women 43% - 25% or average 32% for %Fat/Total cal/min burned.</t>
  </si>
  <si>
    <t>Sally MHR</t>
  </si>
  <si>
    <t>MHR</t>
  </si>
  <si>
    <t xml:space="preserve">Total  </t>
  </si>
  <si>
    <t>Total Men &amp; Women:  Total calories burned - Aerobic zone = 12, FatBurn zone = 9</t>
  </si>
  <si>
    <t>Total Men &amp; Women:  Aerobic zone = 21% (about 1/5) and FatBurn Zone = 36% (about 1/3)</t>
  </si>
  <si>
    <t>Total Men &amp; Women:  Total Fat calories burned - Aerobic zone 2.4, FatBurn zone = 3.3 cal/min</t>
  </si>
  <si>
    <t>Total Men &amp; Women:  This happens at - Aerobic zone 78% MHR, Fat Burn zone = 67% MHR</t>
  </si>
  <si>
    <t>studies avg MHR</t>
  </si>
  <si>
    <t>Sally E calc MHR</t>
  </si>
  <si>
    <t>Avg study MHR</t>
  </si>
  <si>
    <t>Sally Edwards calc MHR</t>
  </si>
  <si>
    <t>Mike Pigg age</t>
  </si>
  <si>
    <t>Simplified Table</t>
  </si>
  <si>
    <t>%MHR</t>
  </si>
  <si>
    <t>Min</t>
  </si>
  <si>
    <t>Max</t>
  </si>
  <si>
    <t>% Fat/Total</t>
  </si>
  <si>
    <t>Total = Women &amp; Men</t>
  </si>
  <si>
    <t xml:space="preserve"> 5 hours</t>
  </si>
  <si>
    <t xml:space="preserve"> 6 hours</t>
  </si>
  <si>
    <t xml:space="preserve"> 7 hours</t>
  </si>
  <si>
    <t xml:space="preserve"> 8 hours</t>
  </si>
  <si>
    <t>Total Calories burned (most) calculators</t>
  </si>
  <si>
    <t>For 'long' rides 62 -  100 Miles</t>
  </si>
  <si>
    <t>You will run out of Stored calories(~1500 - 2000 sugar/carb calories in body), if you do not suppliment on 100+ mile rides</t>
  </si>
  <si>
    <t xml:space="preserve"> 3 hours</t>
  </si>
  <si>
    <t xml:space="preserve"> 4 hours</t>
  </si>
  <si>
    <t>Hour</t>
  </si>
  <si>
    <t>Spent - avg</t>
  </si>
  <si>
    <t>take in</t>
  </si>
  <si>
    <t>total</t>
  </si>
  <si>
    <t>bonk</t>
  </si>
  <si>
    <t>Q - What is max digestion amount/hour?</t>
  </si>
  <si>
    <t>Spent - min</t>
  </si>
  <si>
    <t>Spent - max</t>
  </si>
  <si>
    <t>Conclusion</t>
  </si>
  <si>
    <t>Conserving your Stored calories - NOPE, run it hot the whole ride</t>
  </si>
  <si>
    <t>Conserving your Stored calories - YES, back it down a notch &amp; Fatburn</t>
  </si>
  <si>
    <t xml:space="preserve"> - If you are in FatBurn zone Z2 on average for ride you will run out of calories &amp; bonk at average 6 hours &amp; range of 4 to 10 hours while taking in 225 calories/hour AND assuming you have 2000 calories in body at start</t>
  </si>
  <si>
    <t xml:space="preserve"> - If you are in Aerobic zone Z3 on average for ride you will run out of calories &amp; bonk at average of 4 hours,  3 to 6 hours while taking in 225 calories/hour AND assuming you have 2000 calories in body at start</t>
  </si>
  <si>
    <t xml:space="preserve"> - Bottom line if you back it down a knotch &amp; go FatBurn your precious body stored carb calories will ast another 2 hours or a total of 6 hours increasing your probability of a fast average english 100 mile century.</t>
  </si>
  <si>
    <t>NEXT</t>
  </si>
  <si>
    <t>Real optimized Carb calorie intake</t>
  </si>
  <si>
    <t>Fat burn paper (16) - 2009 Quantifying Differences in the "Fat Burning" Zone and the Aerobic Zone: Implications for Training - KEY - Daniel G Carey</t>
  </si>
  <si>
    <t>https://journals.lww.com/nsca-jscr/Fulltext/2009/10000/Quantifying_Differences_in_the__Fat_Burning__Zone.25.aspx</t>
  </si>
  <si>
    <t>VS MAF</t>
  </si>
  <si>
    <t>Sally E   MHR</t>
  </si>
  <si>
    <t>2002 study</t>
  </si>
  <si>
    <t>2009 study</t>
  </si>
  <si>
    <t>In conclusion:</t>
  </si>
  <si>
    <t>Overpredicts? For younger athletes</t>
  </si>
  <si>
    <t>So to keep this simple I tell people to train at MAF or 180 - age, it is approximately correct.</t>
  </si>
  <si>
    <t>It is simple, yet a little on the high side.   It is likely way lower than they have been training in Zone 3+ or the aerobic zone</t>
  </si>
  <si>
    <t>Aerobic Zone</t>
  </si>
  <si>
    <t>Fat Burn Zone</t>
  </si>
  <si>
    <t>Hours</t>
  </si>
  <si>
    <t>Average Joe</t>
  </si>
  <si>
    <t>15 mph 100 mile</t>
  </si>
  <si>
    <t>Aerobic - 78% MHR</t>
  </si>
  <si>
    <t>MAF</t>
  </si>
  <si>
    <t>Aerobic zone</t>
  </si>
  <si>
    <t xml:space="preserve">Obese 'joe average' </t>
  </si>
  <si>
    <t>Assumptions:</t>
  </si>
  <si>
    <t>Fat Burn Zone for Obese is 24% - 46% of VO2 max</t>
  </si>
  <si>
    <t>Target 'joe average' non-obese Fat Burn Zone at 64% = 74% Max Heart Rate</t>
  </si>
  <si>
    <t>NOTES:  No digestion rate assumed.</t>
  </si>
  <si>
    <t>Obese 'joe average' is 5' 9" tall, still 45 years old, yet now 302 lbs instead of 150 lbs we used prior.  (see https://www.cdc.gov/obesity/adult/defining.html)</t>
  </si>
  <si>
    <t>New Max Heart Rate</t>
  </si>
  <si>
    <t>https://www.howtobefit.com/determine-maximum-heart-rate.htm#:~:text=maximum%20heart%20rate.,female%20%3D%20Estimated%20Maximum%20heart%20rate.</t>
  </si>
  <si>
    <t>Sally Edwards Max Heart Rate (MHR) estimate &amp; easy methods to 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</si>
</sst>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" fontId="0" fillId="0" borderId="1" xfId="0" quotePrefix="1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7" fillId="0" borderId="12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 wrapText="1"/>
    </xf>
    <xf numFmtId="164" fontId="7" fillId="8" borderId="16" xfId="0" applyNumberFormat="1" applyFont="1" applyFill="1" applyBorder="1" applyAlignment="1">
      <alignment horizontal="center" vertical="center"/>
    </xf>
    <xf numFmtId="164" fontId="7" fillId="8" borderId="21" xfId="0" applyNumberFormat="1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0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5" fillId="8" borderId="26" xfId="0" applyFont="1" applyFill="1" applyBorder="1" applyAlignment="1">
      <alignment vertical="center"/>
    </xf>
    <xf numFmtId="0" fontId="5" fillId="8" borderId="27" xfId="0" applyFont="1" applyFill="1" applyBorder="1" applyAlignment="1">
      <alignment horizontal="center" vertical="center"/>
    </xf>
    <xf numFmtId="1" fontId="5" fillId="8" borderId="27" xfId="0" applyNumberFormat="1" applyFont="1" applyFill="1" applyBorder="1" applyAlignment="1">
      <alignment horizontal="center" vertical="center"/>
    </xf>
    <xf numFmtId="1" fontId="5" fillId="8" borderId="28" xfId="0" applyNumberFormat="1" applyFont="1" applyFill="1" applyBorder="1" applyAlignment="1">
      <alignment horizontal="center" vertical="center"/>
    </xf>
    <xf numFmtId="1" fontId="5" fillId="8" borderId="25" xfId="0" applyNumberFormat="1" applyFont="1" applyFill="1" applyBorder="1" applyAlignment="1">
      <alignment horizontal="center" vertical="center"/>
    </xf>
    <xf numFmtId="2" fontId="5" fillId="8" borderId="25" xfId="0" applyNumberFormat="1" applyFont="1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6" xfId="0" applyFill="1" applyBorder="1" applyAlignment="1">
      <alignment vertical="center"/>
    </xf>
    <xf numFmtId="164" fontId="0" fillId="8" borderId="0" xfId="0" applyNumberFormat="1" applyFill="1" applyBorder="1" applyAlignment="1">
      <alignment horizontal="center" vertical="center"/>
    </xf>
    <xf numFmtId="2" fontId="0" fillId="8" borderId="0" xfId="0" applyNumberForma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1" fontId="0" fillId="8" borderId="0" xfId="0" applyNumberFormat="1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8" borderId="30" xfId="0" applyFill="1" applyBorder="1" applyAlignment="1">
      <alignment horizontal="center" vertical="center"/>
    </xf>
    <xf numFmtId="0" fontId="0" fillId="8" borderId="9" xfId="0" applyFill="1" applyBorder="1" applyAlignment="1">
      <alignment vertical="center"/>
    </xf>
    <xf numFmtId="0" fontId="0" fillId="9" borderId="13" xfId="0" applyFill="1" applyBorder="1" applyAlignment="1">
      <alignment vertical="center"/>
    </xf>
    <xf numFmtId="0" fontId="8" fillId="9" borderId="14" xfId="0" applyFont="1" applyFill="1" applyBorder="1" applyAlignment="1">
      <alignment vertical="center"/>
    </xf>
    <xf numFmtId="0" fontId="0" fillId="8" borderId="6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2" fontId="0" fillId="8" borderId="14" xfId="0" applyNumberFormat="1" applyFont="1" applyFill="1" applyBorder="1" applyAlignment="1">
      <alignment horizontal="center" vertical="center"/>
    </xf>
    <xf numFmtId="164" fontId="5" fillId="8" borderId="25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8" borderId="13" xfId="0" applyFont="1" applyFill="1" applyBorder="1" applyAlignment="1">
      <alignment vertical="center"/>
    </xf>
    <xf numFmtId="2" fontId="0" fillId="8" borderId="6" xfId="0" applyNumberFormat="1" applyFill="1" applyBorder="1" applyAlignment="1">
      <alignment horizontal="center" vertical="center"/>
    </xf>
    <xf numFmtId="0" fontId="0" fillId="8" borderId="14" xfId="0" quotePrefix="1" applyFill="1" applyBorder="1" applyAlignment="1">
      <alignment vertical="center"/>
    </xf>
    <xf numFmtId="0" fontId="0" fillId="8" borderId="15" xfId="0" quotePrefix="1" applyFill="1" applyBorder="1" applyAlignment="1">
      <alignment vertical="center"/>
    </xf>
    <xf numFmtId="2" fontId="0" fillId="8" borderId="9" xfId="0" applyNumberForma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2" fontId="5" fillId="8" borderId="6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0" fillId="0" borderId="9" xfId="2" applyNumberFormat="1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13" xfId="0" applyFill="1" applyBorder="1" applyAlignment="1">
      <alignment vertical="center"/>
    </xf>
    <xf numFmtId="0" fontId="0" fillId="8" borderId="29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25" xfId="0" applyFill="1" applyBorder="1" applyAlignment="1">
      <alignment horizontal="center" vertical="center"/>
    </xf>
    <xf numFmtId="164" fontId="0" fillId="8" borderId="25" xfId="0" applyNumberFormat="1" applyFill="1" applyBorder="1" applyAlignment="1">
      <alignment horizontal="center" vertical="center"/>
    </xf>
    <xf numFmtId="0" fontId="0" fillId="8" borderId="30" xfId="0" applyFill="1" applyBorder="1" applyAlignment="1">
      <alignment vertical="center"/>
    </xf>
    <xf numFmtId="9" fontId="0" fillId="8" borderId="0" xfId="1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9" fontId="0" fillId="8" borderId="30" xfId="1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/>
    </xf>
    <xf numFmtId="0" fontId="14" fillId="0" borderId="0" xfId="3"/>
    <xf numFmtId="14" fontId="0" fillId="0" borderId="0" xfId="0" applyNumberFormat="1"/>
    <xf numFmtId="0" fontId="2" fillId="8" borderId="0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right" vertical="center"/>
    </xf>
    <xf numFmtId="0" fontId="0" fillId="8" borderId="6" xfId="0" applyFill="1" applyBorder="1" applyAlignment="1">
      <alignment horizontal="center" vertical="center"/>
    </xf>
    <xf numFmtId="0" fontId="0" fillId="8" borderId="15" xfId="0" applyFill="1" applyBorder="1" applyAlignment="1">
      <alignment horizontal="right" vertical="center"/>
    </xf>
    <xf numFmtId="9" fontId="0" fillId="8" borderId="9" xfId="1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9" fontId="0" fillId="0" borderId="0" xfId="1" applyFont="1"/>
    <xf numFmtId="9" fontId="0" fillId="11" borderId="0" xfId="1" applyFont="1" applyFill="1"/>
    <xf numFmtId="0" fontId="0" fillId="0" borderId="0" xfId="0" quotePrefix="1"/>
    <xf numFmtId="1" fontId="0" fillId="0" borderId="0" xfId="0" applyNumberFormat="1" applyAlignment="1">
      <alignment horizontal="center"/>
    </xf>
    <xf numFmtId="0" fontId="0" fillId="0" borderId="13" xfId="0" applyBorder="1"/>
    <xf numFmtId="0" fontId="0" fillId="0" borderId="29" xfId="0" applyBorder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15" xfId="1" applyFont="1" applyBorder="1" applyAlignment="1">
      <alignment horizontal="center" vertical="center"/>
    </xf>
    <xf numFmtId="9" fontId="0" fillId="0" borderId="30" xfId="1" applyFont="1" applyBorder="1" applyAlignment="1">
      <alignment horizontal="center" vertical="center"/>
    </xf>
    <xf numFmtId="0" fontId="0" fillId="0" borderId="14" xfId="0" applyBorder="1"/>
    <xf numFmtId="0" fontId="0" fillId="0" borderId="0" xfId="0" applyBorder="1"/>
    <xf numFmtId="1" fontId="5" fillId="0" borderId="6" xfId="0" applyNumberFormat="1" applyFont="1" applyBorder="1" applyAlignment="1">
      <alignment horizontal="center" vertical="center"/>
    </xf>
    <xf numFmtId="9" fontId="5" fillId="0" borderId="9" xfId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4" borderId="0" xfId="1" applyFont="1" applyFill="1"/>
    <xf numFmtId="0" fontId="0" fillId="4" borderId="0" xfId="0" applyFill="1" applyAlignment="1">
      <alignment horizontal="center"/>
    </xf>
    <xf numFmtId="1" fontId="0" fillId="0" borderId="0" xfId="0" applyNumberFormat="1"/>
    <xf numFmtId="0" fontId="0" fillId="0" borderId="0" xfId="0" applyAlignment="1"/>
    <xf numFmtId="0" fontId="0" fillId="0" borderId="0" xfId="0" applyAlignment="1">
      <alignment horizontal="left"/>
    </xf>
    <xf numFmtId="0" fontId="0" fillId="4" borderId="0" xfId="0" applyFill="1"/>
    <xf numFmtId="1" fontId="0" fillId="4" borderId="0" xfId="0" applyNumberFormat="1" applyFill="1" applyAlignment="1">
      <alignment horizontal="center"/>
    </xf>
    <xf numFmtId="0" fontId="15" fillId="0" borderId="0" xfId="0" applyFont="1"/>
    <xf numFmtId="0" fontId="0" fillId="4" borderId="13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9" fontId="0" fillId="4" borderId="15" xfId="1" applyFont="1" applyFill="1" applyBorder="1" applyAlignment="1">
      <alignment horizontal="center" vertical="center"/>
    </xf>
    <xf numFmtId="9" fontId="0" fillId="4" borderId="30" xfId="1" applyFont="1" applyFill="1" applyBorder="1" applyAlignment="1">
      <alignment horizontal="center" vertical="center"/>
    </xf>
    <xf numFmtId="9" fontId="5" fillId="4" borderId="9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0" fontId="0" fillId="4" borderId="29" xfId="0" applyFill="1" applyBorder="1"/>
    <xf numFmtId="0" fontId="0" fillId="4" borderId="4" xfId="0" applyFill="1" applyBorder="1"/>
    <xf numFmtId="0" fontId="0" fillId="4" borderId="1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1" fontId="0" fillId="4" borderId="30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center" vertical="center"/>
    </xf>
    <xf numFmtId="0" fontId="0" fillId="8" borderId="0" xfId="0" applyFill="1"/>
    <xf numFmtId="0" fontId="0" fillId="8" borderId="29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14" xfId="0" applyFill="1" applyBorder="1"/>
    <xf numFmtId="1" fontId="4" fillId="8" borderId="0" xfId="0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164" fontId="4" fillId="8" borderId="0" xfId="0" applyNumberFormat="1" applyFont="1" applyFill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164" fontId="0" fillId="8" borderId="6" xfId="0" applyNumberFormat="1" applyFill="1" applyBorder="1" applyAlignment="1">
      <alignment horizontal="center"/>
    </xf>
    <xf numFmtId="9" fontId="4" fillId="8" borderId="0" xfId="0" applyNumberFormat="1" applyFont="1" applyFill="1" applyBorder="1" applyAlignment="1">
      <alignment horizontal="center"/>
    </xf>
    <xf numFmtId="9" fontId="0" fillId="8" borderId="0" xfId="0" applyNumberFormat="1" applyFill="1" applyBorder="1" applyAlignment="1">
      <alignment horizontal="center"/>
    </xf>
    <xf numFmtId="9" fontId="0" fillId="8" borderId="6" xfId="0" applyNumberFormat="1" applyFill="1" applyBorder="1" applyAlignment="1">
      <alignment horizontal="center"/>
    </xf>
    <xf numFmtId="0" fontId="0" fillId="8" borderId="15" xfId="0" applyFill="1" applyBorder="1"/>
    <xf numFmtId="1" fontId="4" fillId="8" borderId="30" xfId="0" applyNumberFormat="1" applyFont="1" applyFill="1" applyBorder="1" applyAlignment="1">
      <alignment horizontal="center"/>
    </xf>
    <xf numFmtId="164" fontId="0" fillId="8" borderId="30" xfId="0" applyNumberFormat="1" applyFill="1" applyBorder="1" applyAlignment="1">
      <alignment horizontal="center"/>
    </xf>
    <xf numFmtId="164" fontId="0" fillId="8" borderId="9" xfId="0" applyNumberFormat="1" applyFill="1" applyBorder="1" applyAlignment="1">
      <alignment horizontal="center"/>
    </xf>
    <xf numFmtId="0" fontId="9" fillId="8" borderId="0" xfId="0" applyFont="1" applyFill="1"/>
    <xf numFmtId="0" fontId="16" fillId="8" borderId="13" xfId="0" applyFont="1" applyFill="1" applyBorder="1"/>
    <xf numFmtId="0" fontId="16" fillId="4" borderId="13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0" fillId="4" borderId="14" xfId="0" applyFill="1" applyBorder="1"/>
    <xf numFmtId="164" fontId="4" fillId="4" borderId="0" xfId="0" applyNumberFormat="1" applyFont="1" applyFill="1" applyBorder="1" applyAlignment="1">
      <alignment horizontal="center"/>
    </xf>
    <xf numFmtId="9" fontId="4" fillId="4" borderId="0" xfId="0" applyNumberFormat="1" applyFont="1" applyFill="1" applyBorder="1" applyAlignment="1">
      <alignment horizontal="center"/>
    </xf>
    <xf numFmtId="9" fontId="0" fillId="4" borderId="0" xfId="0" applyNumberFormat="1" applyFill="1" applyBorder="1" applyAlignment="1">
      <alignment horizontal="center"/>
    </xf>
    <xf numFmtId="9" fontId="0" fillId="4" borderId="6" xfId="0" applyNumberFormat="1" applyFill="1" applyBorder="1" applyAlignment="1">
      <alignment horizontal="center"/>
    </xf>
    <xf numFmtId="0" fontId="0" fillId="4" borderId="15" xfId="0" applyFill="1" applyBorder="1"/>
    <xf numFmtId="1" fontId="4" fillId="4" borderId="30" xfId="0" applyNumberFormat="1" applyFont="1" applyFill="1" applyBorder="1" applyAlignment="1">
      <alignment horizontal="center"/>
    </xf>
    <xf numFmtId="164" fontId="0" fillId="4" borderId="30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0" fontId="17" fillId="8" borderId="0" xfId="0" applyFont="1" applyFill="1"/>
    <xf numFmtId="0" fontId="4" fillId="4" borderId="13" xfId="0" applyFont="1" applyFill="1" applyBorder="1"/>
    <xf numFmtId="0" fontId="0" fillId="0" borderId="0" xfId="0" applyAlignment="1">
      <alignment horizontal="right"/>
    </xf>
    <xf numFmtId="0" fontId="18" fillId="8" borderId="0" xfId="0" applyFont="1" applyFill="1"/>
    <xf numFmtId="0" fontId="0" fillId="8" borderId="10" xfId="0" applyFill="1" applyBorder="1"/>
    <xf numFmtId="0" fontId="4" fillId="8" borderId="13" xfId="0" applyFont="1" applyFill="1" applyBorder="1" applyAlignment="1">
      <alignment horizontal="left"/>
    </xf>
    <xf numFmtId="0" fontId="0" fillId="8" borderId="29" xfId="0" applyFill="1" applyBorder="1"/>
    <xf numFmtId="0" fontId="0" fillId="8" borderId="4" xfId="0" applyFill="1" applyBorder="1"/>
    <xf numFmtId="0" fontId="0" fillId="8" borderId="11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" fontId="0" fillId="8" borderId="14" xfId="0" applyNumberForma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8" borderId="13" xfId="0" applyFill="1" applyBorder="1" applyAlignment="1">
      <alignment horizontal="center"/>
    </xf>
    <xf numFmtId="1" fontId="0" fillId="8" borderId="0" xfId="0" applyNumberFormat="1" applyFill="1" applyBorder="1" applyAlignment="1">
      <alignment horizontal="center"/>
    </xf>
    <xf numFmtId="1" fontId="0" fillId="8" borderId="6" xfId="0" applyNumberFormat="1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1" fontId="0" fillId="8" borderId="30" xfId="0" applyNumberFormat="1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1" fontId="0" fillId="8" borderId="9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0" borderId="25" xfId="0" applyBorder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14</xdr:col>
      <xdr:colOff>47625</xdr:colOff>
      <xdr:row>13</xdr:row>
      <xdr:rowOff>87235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E62BD0-7028-4641-AAC3-4D7A8A7CC1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49" t="18621" r="68006" b="16396"/>
        <a:stretch/>
      </xdr:blipFill>
      <xdr:spPr>
        <a:xfrm>
          <a:off x="6553200" y="0"/>
          <a:ext cx="2352675" cy="3325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extavenue.org/high-intensity-interval-training/" TargetMode="External"/><Relationship Id="rId13" Type="http://schemas.openxmlformats.org/officeDocument/2006/relationships/hyperlink" Target="https://www.phoenix.gov/fire/directory/health-center/health-and-fitness-newsletters/exercise-workouts/trainingallen" TargetMode="External"/><Relationship Id="rId18" Type="http://schemas.openxmlformats.org/officeDocument/2006/relationships/hyperlink" Target="https://www.outsideonline.com/2401498/interval-workouts-study" TargetMode="External"/><Relationship Id="rId26" Type="http://schemas.openxmlformats.org/officeDocument/2006/relationships/hyperlink" Target="https://andrewskurka.com/metabolic-efficiency-test-results-hiking-running/" TargetMode="External"/><Relationship Id="rId3" Type="http://schemas.openxmlformats.org/officeDocument/2006/relationships/hyperlink" Target="https://fascatcoaching.com/tips/sweet-spot-training/" TargetMode="External"/><Relationship Id="rId21" Type="http://schemas.openxmlformats.org/officeDocument/2006/relationships/hyperlink" Target="https://journals.lww.com/acsm-msse/Fulltext/2002/01000/Determination_of_the_exercise_intensity_that.15.aspx" TargetMode="External"/><Relationship Id="rId7" Type="http://schemas.openxmlformats.org/officeDocument/2006/relationships/hyperlink" Target="https://www.runnersworld.com/advanced/a20803666/how-much-rest-should-you-take-between-intervals/" TargetMode="External"/><Relationship Id="rId12" Type="http://schemas.openxmlformats.org/officeDocument/2006/relationships/hyperlink" Target="..\DB23_Endurance_Training_adding_Intervals_52820\6_2016_AI_Eskew_Mark_Allenon_Heart_Rate_Training.pdf" TargetMode="External"/><Relationship Id="rId17" Type="http://schemas.openxmlformats.org/officeDocument/2006/relationships/hyperlink" Target="https://www.cyclingweekly.com/fitness/how-to-burn-fat-cycling-163887" TargetMode="External"/><Relationship Id="rId25" Type="http://schemas.openxmlformats.org/officeDocument/2006/relationships/hyperlink" Target="https://www.jupiterhealth.com.au/metabolism-explained/metabolism-during-exercise/" TargetMode="External"/><Relationship Id="rId2" Type="http://schemas.openxmlformats.org/officeDocument/2006/relationships/hyperlink" Target="https://www.evoq.bike/blog/2019/3/20/tempo-the-silent-killer" TargetMode="External"/><Relationship Id="rId16" Type="http://schemas.openxmlformats.org/officeDocument/2006/relationships/hyperlink" Target="https://www.inverse.com/mind-body/lose-weight-how-to-get-in-the-fat-burnin" TargetMode="External"/><Relationship Id="rId20" Type="http://schemas.openxmlformats.org/officeDocument/2006/relationships/hyperlink" Target="https://www.ncbi.nlm.nih.gov/pmc/articles/PMC5974542/" TargetMode="External"/><Relationship Id="rId29" Type="http://schemas.openxmlformats.org/officeDocument/2006/relationships/hyperlink" Target="https://journals.lww.com/nsca-jscr/Fulltext/2009/10000/Quantifying_Differences_in_the__Fat_Burning__Zone.25.aspx" TargetMode="External"/><Relationship Id="rId1" Type="http://schemas.openxmlformats.org/officeDocument/2006/relationships/hyperlink" Target="http://naturalrunningcenter.com/2017/02/19/part-2-determining-heart-rate-zones/" TargetMode="External"/><Relationship Id="rId6" Type="http://schemas.openxmlformats.org/officeDocument/2006/relationships/hyperlink" Target="http://www.cptips.com/intervl.htm" TargetMode="External"/><Relationship Id="rId11" Type="http://schemas.openxmlformats.org/officeDocument/2006/relationships/hyperlink" Target="https://blog.sme.sk/blog/3928/155928/Burgomaster_2005.pdf" TargetMode="External"/><Relationship Id="rId24" Type="http://schemas.openxmlformats.org/officeDocument/2006/relationships/hyperlink" Target="http://lowcarbstudies.com/athletics/2018/07/04/exercise-intensity-and-fat-burning/" TargetMode="External"/><Relationship Id="rId5" Type="http://schemas.openxmlformats.org/officeDocument/2006/relationships/hyperlink" Target="https://www.roadbikerider.com/cyclists-intensity-training-maximum-benefit/" TargetMode="External"/><Relationship Id="rId15" Type="http://schemas.openxmlformats.org/officeDocument/2006/relationships/hyperlink" Target="https://pubmed.ncbi.nlm.nih.gov/20840558/" TargetMode="External"/><Relationship Id="rId23" Type="http://schemas.openxmlformats.org/officeDocument/2006/relationships/hyperlink" Target="https://theconversation.com/fat-burning-zone-the-best-way-to-exercise-to-burn-fat-138662" TargetMode="External"/><Relationship Id="rId28" Type="http://schemas.openxmlformats.org/officeDocument/2006/relationships/hyperlink" Target="https://philmaffetone.com/white-paper-maf-exercise-heart-rate-can-help-improve-health-sports-performance/it" TargetMode="External"/><Relationship Id="rId10" Type="http://schemas.openxmlformats.org/officeDocument/2006/relationships/hyperlink" Target="https://www.nrcresearchpress.com/doi/abs/10.1139/H08-097" TargetMode="External"/><Relationship Id="rId19" Type="http://schemas.openxmlformats.org/officeDocument/2006/relationships/hyperlink" Target="https://www.nzherald.co.nz/lifestyle/news/article.cfm?c_id=6&amp;objectid=12335437" TargetMode="External"/><Relationship Id="rId31" Type="http://schemas.openxmlformats.org/officeDocument/2006/relationships/printerSettings" Target="../printerSettings/printerSettings5.bin"/><Relationship Id="rId4" Type="http://schemas.openxmlformats.org/officeDocument/2006/relationships/hyperlink" Target="https://trainright.com/cycling-base-training-dos-and-donts-for-amateur-and-masters-cyclists/" TargetMode="External"/><Relationship Id="rId9" Type="http://schemas.openxmlformats.org/officeDocument/2006/relationships/hyperlink" Target="https://physoc.onlinelibrary.wiley.com/doi/full/10.1113/jphysiol.2011.224725" TargetMode="External"/><Relationship Id="rId14" Type="http://schemas.openxmlformats.org/officeDocument/2006/relationships/hyperlink" Target="https://pubmed.ncbi.nlm.nih.gov/9007451/" TargetMode="External"/><Relationship Id="rId22" Type="http://schemas.openxmlformats.org/officeDocument/2006/relationships/hyperlink" Target="https://www.telegraph.co.uk/health-fitness/body/secret-science-cycling-fitness-tour-de-france-pro/" TargetMode="External"/><Relationship Id="rId27" Type="http://schemas.openxmlformats.org/officeDocument/2006/relationships/hyperlink" Target="http://crossfitslipstream.com/2018/05/18/torch-fat-and-feel-great-with-burn45/" TargetMode="External"/><Relationship Id="rId30" Type="http://schemas.openxmlformats.org/officeDocument/2006/relationships/hyperlink" Target="https://www.howtobefit.com/determine-maximum-heart-rat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30DEE-9934-4CD2-9387-CAA4286AB829}">
  <dimension ref="B1:F21"/>
  <sheetViews>
    <sheetView zoomScale="90" zoomScaleNormal="90" workbookViewId="0">
      <selection activeCell="I9" sqref="I9"/>
    </sheetView>
  </sheetViews>
  <sheetFormatPr defaultRowHeight="15" x14ac:dyDescent="0.25"/>
  <cols>
    <col min="1" max="1" width="3" style="1" customWidth="1"/>
    <col min="2" max="2" width="38.5703125" style="1" bestFit="1" customWidth="1"/>
    <col min="3" max="5" width="14.42578125" style="1" customWidth="1"/>
    <col min="6" max="6" width="5.5703125" style="2" bestFit="1" customWidth="1"/>
    <col min="7" max="16384" width="9.140625" style="1"/>
  </cols>
  <sheetData>
    <row r="1" spans="2:6" ht="15.75" thickBot="1" x14ac:dyDescent="0.3"/>
    <row r="2" spans="2:6" ht="78.75" x14ac:dyDescent="0.25">
      <c r="B2" s="7"/>
      <c r="C2" s="8" t="s">
        <v>22</v>
      </c>
      <c r="D2" s="8" t="s">
        <v>23</v>
      </c>
      <c r="E2" s="8" t="s">
        <v>24</v>
      </c>
      <c r="F2" s="9"/>
    </row>
    <row r="3" spans="2:6" ht="40.5" customHeight="1" x14ac:dyDescent="0.25">
      <c r="B3" s="10"/>
      <c r="C3" s="27" t="s">
        <v>66</v>
      </c>
      <c r="D3" s="28" t="s">
        <v>65</v>
      </c>
      <c r="E3" s="28" t="s">
        <v>65</v>
      </c>
      <c r="F3" s="11"/>
    </row>
    <row r="4" spans="2:6" x14ac:dyDescent="0.25">
      <c r="B4" s="10" t="s">
        <v>18</v>
      </c>
      <c r="C4" s="3">
        <v>1</v>
      </c>
      <c r="D4" s="3">
        <v>0.6</v>
      </c>
      <c r="E4" s="6" t="s">
        <v>19</v>
      </c>
      <c r="F4" s="11"/>
    </row>
    <row r="5" spans="2:6" x14ac:dyDescent="0.25">
      <c r="B5" s="10" t="s">
        <v>0</v>
      </c>
      <c r="C5" s="3">
        <v>10</v>
      </c>
      <c r="D5" s="3">
        <v>0</v>
      </c>
      <c r="E5" s="3">
        <v>0</v>
      </c>
      <c r="F5" s="11"/>
    </row>
    <row r="6" spans="2:6" x14ac:dyDescent="0.25">
      <c r="B6" s="10" t="s">
        <v>1</v>
      </c>
      <c r="C6" s="3">
        <v>4</v>
      </c>
      <c r="D6" s="3">
        <v>0</v>
      </c>
      <c r="E6" s="3">
        <v>0</v>
      </c>
      <c r="F6" s="11" t="s">
        <v>3</v>
      </c>
    </row>
    <row r="7" spans="2:6" x14ac:dyDescent="0.25">
      <c r="B7" s="10" t="s">
        <v>2</v>
      </c>
      <c r="C7" s="3">
        <v>1</v>
      </c>
      <c r="D7" s="3">
        <v>0</v>
      </c>
      <c r="E7" s="3">
        <v>0</v>
      </c>
      <c r="F7" s="11" t="s">
        <v>3</v>
      </c>
    </row>
    <row r="8" spans="2:6" x14ac:dyDescent="0.25">
      <c r="B8" s="10" t="s">
        <v>8</v>
      </c>
      <c r="C8" s="3">
        <v>360</v>
      </c>
      <c r="D8" s="3">
        <v>125</v>
      </c>
      <c r="E8" s="3">
        <v>125</v>
      </c>
      <c r="F8" s="11" t="s">
        <v>5</v>
      </c>
    </row>
    <row r="9" spans="2:6" x14ac:dyDescent="0.25">
      <c r="B9" s="10" t="s">
        <v>9</v>
      </c>
      <c r="C9" s="3">
        <v>100</v>
      </c>
      <c r="D9" s="3">
        <v>130</v>
      </c>
      <c r="E9" s="3">
        <v>150</v>
      </c>
      <c r="F9" s="11" t="s">
        <v>5</v>
      </c>
    </row>
    <row r="10" spans="2:6" ht="18.75" x14ac:dyDescent="0.25">
      <c r="B10" s="12" t="s">
        <v>10</v>
      </c>
      <c r="C10" s="4">
        <f>C9/C8</f>
        <v>0.27777777777777779</v>
      </c>
      <c r="D10" s="4">
        <f>D9/D8</f>
        <v>1.04</v>
      </c>
      <c r="E10" s="4">
        <f>E9/E8</f>
        <v>1.2</v>
      </c>
      <c r="F10" s="11"/>
    </row>
    <row r="11" spans="2:6" x14ac:dyDescent="0.25">
      <c r="B11" s="10"/>
      <c r="C11" s="3"/>
      <c r="D11" s="3"/>
      <c r="E11" s="3"/>
      <c r="F11" s="11"/>
    </row>
    <row r="12" spans="2:6" x14ac:dyDescent="0.25">
      <c r="B12" s="10" t="s">
        <v>11</v>
      </c>
      <c r="C12" s="3">
        <v>18.989999999999998</v>
      </c>
      <c r="D12" s="3">
        <v>42.09</v>
      </c>
      <c r="E12" s="3">
        <v>14.29</v>
      </c>
      <c r="F12" s="11" t="s">
        <v>13</v>
      </c>
    </row>
    <row r="13" spans="2:6" x14ac:dyDescent="0.25">
      <c r="B13" s="10" t="s">
        <v>20</v>
      </c>
      <c r="C13" s="3">
        <v>40</v>
      </c>
      <c r="D13" s="3">
        <f>40*3</f>
        <v>120</v>
      </c>
      <c r="E13" s="3">
        <v>48</v>
      </c>
      <c r="F13" s="11"/>
    </row>
    <row r="14" spans="2:6" x14ac:dyDescent="0.25">
      <c r="B14" s="10" t="s">
        <v>12</v>
      </c>
      <c r="C14" s="5">
        <f>C12/C13</f>
        <v>0.47474999999999995</v>
      </c>
      <c r="D14" s="5">
        <f>D12/D13</f>
        <v>0.35075000000000001</v>
      </c>
      <c r="E14" s="5">
        <f>E12/E13</f>
        <v>0.2977083333333333</v>
      </c>
      <c r="F14" s="26" t="s">
        <v>64</v>
      </c>
    </row>
    <row r="15" spans="2:6" x14ac:dyDescent="0.25">
      <c r="B15" s="10"/>
      <c r="C15" s="3"/>
      <c r="D15" s="3"/>
      <c r="E15" s="3"/>
      <c r="F15" s="11"/>
    </row>
    <row r="16" spans="2:6" x14ac:dyDescent="0.25">
      <c r="B16" s="10" t="s">
        <v>14</v>
      </c>
      <c r="C16" s="3"/>
      <c r="D16" s="3"/>
      <c r="E16" s="3"/>
      <c r="F16" s="11"/>
    </row>
    <row r="17" spans="2:6" x14ac:dyDescent="0.25">
      <c r="B17" s="10" t="s">
        <v>6</v>
      </c>
      <c r="C17" s="3">
        <v>38</v>
      </c>
      <c r="D17" s="3">
        <v>0</v>
      </c>
      <c r="E17" s="3">
        <v>0</v>
      </c>
      <c r="F17" s="11" t="s">
        <v>5</v>
      </c>
    </row>
    <row r="18" spans="2:6" x14ac:dyDescent="0.25">
      <c r="B18" s="10" t="s">
        <v>15</v>
      </c>
      <c r="C18" s="3">
        <v>0</v>
      </c>
      <c r="D18" s="3">
        <v>40</v>
      </c>
      <c r="E18" s="3">
        <v>45</v>
      </c>
      <c r="F18" s="11" t="s">
        <v>5</v>
      </c>
    </row>
    <row r="19" spans="2:6" x14ac:dyDescent="0.25">
      <c r="B19" s="10" t="s">
        <v>16</v>
      </c>
      <c r="C19" s="3">
        <v>0</v>
      </c>
      <c r="D19" s="3">
        <v>390</v>
      </c>
      <c r="E19" s="3">
        <v>390</v>
      </c>
      <c r="F19" s="11" t="s">
        <v>5</v>
      </c>
    </row>
    <row r="20" spans="2:6" x14ac:dyDescent="0.25">
      <c r="B20" s="10" t="s">
        <v>17</v>
      </c>
      <c r="C20" s="3">
        <v>0</v>
      </c>
      <c r="D20" s="3">
        <v>20</v>
      </c>
      <c r="E20" s="3">
        <v>20</v>
      </c>
      <c r="F20" s="11"/>
    </row>
    <row r="21" spans="2:6" ht="15.75" thickBot="1" x14ac:dyDescent="0.3">
      <c r="B21" s="13" t="s">
        <v>21</v>
      </c>
      <c r="C21" s="14">
        <v>0</v>
      </c>
      <c r="D21" s="14">
        <v>2</v>
      </c>
      <c r="E21" s="14">
        <v>0</v>
      </c>
      <c r="F21" s="15" t="s">
        <v>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B8B6C-0FAF-46A7-AD04-98634DC86B09}">
  <dimension ref="B1:Q49"/>
  <sheetViews>
    <sheetView topLeftCell="A35" workbookViewId="0">
      <selection activeCell="J44" sqref="J44"/>
    </sheetView>
  </sheetViews>
  <sheetFormatPr defaultRowHeight="15" x14ac:dyDescent="0.25"/>
  <cols>
    <col min="1" max="1" width="4" style="1" customWidth="1"/>
    <col min="2" max="2" width="20.28515625" style="1" bestFit="1" customWidth="1"/>
    <col min="3" max="8" width="12.28515625" style="1" customWidth="1"/>
    <col min="9" max="9" width="9.28515625" style="2" bestFit="1" customWidth="1"/>
    <col min="10" max="16384" width="9.140625" style="1"/>
  </cols>
  <sheetData>
    <row r="1" spans="2:17" ht="120" x14ac:dyDescent="0.25">
      <c r="B1" s="21"/>
      <c r="C1" s="37" t="s">
        <v>25</v>
      </c>
      <c r="D1" s="37" t="s">
        <v>52</v>
      </c>
      <c r="E1" s="37" t="s">
        <v>72</v>
      </c>
      <c r="F1" s="37" t="s">
        <v>63</v>
      </c>
      <c r="G1" s="37" t="s">
        <v>91</v>
      </c>
      <c r="H1" s="29" t="s">
        <v>92</v>
      </c>
      <c r="I1" s="29" t="s">
        <v>58</v>
      </c>
      <c r="K1" s="1">
        <v>145</v>
      </c>
      <c r="L1" s="1">
        <v>2.2000000000000002</v>
      </c>
      <c r="M1" s="34">
        <f>K1/L1</f>
        <v>65.909090909090907</v>
      </c>
      <c r="N1" s="1">
        <v>1.5</v>
      </c>
      <c r="O1" s="34">
        <f>M1*N1</f>
        <v>98.86363636363636</v>
      </c>
      <c r="P1" s="1">
        <v>3</v>
      </c>
      <c r="Q1" s="34">
        <f>M1*P1</f>
        <v>197.72727272727272</v>
      </c>
    </row>
    <row r="2" spans="2:17" ht="33.75" x14ac:dyDescent="0.25">
      <c r="B2" s="22"/>
      <c r="C2" s="16" t="s">
        <v>61</v>
      </c>
      <c r="D2" s="19" t="s">
        <v>60</v>
      </c>
      <c r="E2" s="20" t="s">
        <v>62</v>
      </c>
      <c r="F2" s="19" t="s">
        <v>67</v>
      </c>
      <c r="G2" s="30" t="s">
        <v>84</v>
      </c>
      <c r="H2" s="38" t="s">
        <v>71</v>
      </c>
      <c r="I2" s="11"/>
      <c r="K2" s="1" t="s">
        <v>85</v>
      </c>
      <c r="L2" s="1" t="s">
        <v>57</v>
      </c>
      <c r="M2" s="1" t="s">
        <v>86</v>
      </c>
      <c r="O2" s="1" t="s">
        <v>68</v>
      </c>
      <c r="Q2" s="1" t="s">
        <v>69</v>
      </c>
    </row>
    <row r="3" spans="2:17" x14ac:dyDescent="0.25">
      <c r="B3" s="22" t="s">
        <v>53</v>
      </c>
      <c r="C3" s="17">
        <v>1</v>
      </c>
      <c r="D3" s="17">
        <v>2</v>
      </c>
      <c r="E3" s="17">
        <v>1</v>
      </c>
      <c r="F3" s="17">
        <v>1</v>
      </c>
      <c r="G3" s="17">
        <v>2</v>
      </c>
      <c r="H3" s="24">
        <v>1</v>
      </c>
      <c r="I3" s="11"/>
    </row>
    <row r="4" spans="2:17" x14ac:dyDescent="0.25">
      <c r="B4" s="22" t="s">
        <v>54</v>
      </c>
      <c r="C4" s="17">
        <v>33</v>
      </c>
      <c r="D4" s="17">
        <v>26</v>
      </c>
      <c r="E4" s="17">
        <v>38</v>
      </c>
      <c r="F4" s="17">
        <v>6.9</v>
      </c>
      <c r="G4" s="17">
        <v>40</v>
      </c>
      <c r="H4" s="24">
        <v>27</v>
      </c>
      <c r="I4" s="11" t="s">
        <v>3</v>
      </c>
    </row>
    <row r="5" spans="2:17" x14ac:dyDescent="0.25">
      <c r="B5" s="22" t="s">
        <v>70</v>
      </c>
      <c r="C5" s="18" t="s">
        <v>26</v>
      </c>
      <c r="D5" s="18" t="s">
        <v>55</v>
      </c>
      <c r="E5" s="18" t="s">
        <v>59</v>
      </c>
      <c r="F5" s="18" t="s">
        <v>59</v>
      </c>
      <c r="G5" s="18" t="s">
        <v>59</v>
      </c>
      <c r="H5" s="36" t="s">
        <v>26</v>
      </c>
      <c r="I5" s="11"/>
    </row>
    <row r="6" spans="2:17" x14ac:dyDescent="0.25">
      <c r="B6" s="22" t="s">
        <v>0</v>
      </c>
      <c r="C6" s="17">
        <v>120</v>
      </c>
      <c r="D6" s="17">
        <v>100</v>
      </c>
      <c r="E6" s="17">
        <v>150</v>
      </c>
      <c r="F6" s="17">
        <v>0</v>
      </c>
      <c r="G6" s="17">
        <v>160</v>
      </c>
      <c r="H6" s="24">
        <v>110</v>
      </c>
      <c r="I6" s="11"/>
    </row>
    <row r="7" spans="2:17" x14ac:dyDescent="0.25">
      <c r="B7" s="22" t="s">
        <v>27</v>
      </c>
      <c r="C7" s="17">
        <v>2</v>
      </c>
      <c r="D7" s="17">
        <v>2</v>
      </c>
      <c r="E7" s="17">
        <v>3</v>
      </c>
      <c r="F7" s="17">
        <v>0</v>
      </c>
      <c r="G7" s="17">
        <v>3</v>
      </c>
      <c r="H7" s="24">
        <v>0.5</v>
      </c>
      <c r="I7" s="11" t="s">
        <v>3</v>
      </c>
    </row>
    <row r="8" spans="2:17" x14ac:dyDescent="0.25">
      <c r="B8" s="22" t="s">
        <v>28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24">
        <v>0.5</v>
      </c>
      <c r="I8" s="11" t="s">
        <v>5</v>
      </c>
    </row>
    <row r="9" spans="2:17" x14ac:dyDescent="0.25">
      <c r="B9" s="22" t="s">
        <v>7</v>
      </c>
      <c r="C9" s="17">
        <v>330</v>
      </c>
      <c r="D9" s="17">
        <v>360</v>
      </c>
      <c r="E9" s="17">
        <v>320</v>
      </c>
      <c r="F9" s="17">
        <v>0</v>
      </c>
      <c r="G9" s="17">
        <v>420</v>
      </c>
      <c r="H9" s="24">
        <v>150</v>
      </c>
      <c r="I9" s="11" t="s">
        <v>5</v>
      </c>
    </row>
    <row r="10" spans="2:17" x14ac:dyDescent="0.25">
      <c r="B10" s="22" t="s">
        <v>29</v>
      </c>
      <c r="C10" s="17">
        <v>1</v>
      </c>
      <c r="D10" s="17">
        <v>1</v>
      </c>
      <c r="E10" s="17">
        <v>11</v>
      </c>
      <c r="F10" s="17">
        <v>0</v>
      </c>
      <c r="G10" s="17">
        <v>13</v>
      </c>
      <c r="H10" s="24">
        <v>3</v>
      </c>
      <c r="I10" s="11" t="s">
        <v>3</v>
      </c>
    </row>
    <row r="11" spans="2:17" x14ac:dyDescent="0.25">
      <c r="B11" s="22" t="s">
        <v>30</v>
      </c>
      <c r="C11" s="17">
        <v>24</v>
      </c>
      <c r="D11" s="17">
        <v>20</v>
      </c>
      <c r="E11" s="17">
        <v>21</v>
      </c>
      <c r="F11" s="17">
        <v>0</v>
      </c>
      <c r="G11" s="17">
        <v>20</v>
      </c>
      <c r="H11" s="24">
        <v>21</v>
      </c>
      <c r="I11" s="11" t="s">
        <v>3</v>
      </c>
    </row>
    <row r="12" spans="2:17" x14ac:dyDescent="0.25">
      <c r="B12" s="22" t="s">
        <v>31</v>
      </c>
      <c r="C12" s="17">
        <v>43</v>
      </c>
      <c r="D12" s="17">
        <v>0</v>
      </c>
      <c r="E12" s="17">
        <v>0</v>
      </c>
      <c r="F12" s="17">
        <v>0</v>
      </c>
      <c r="G12" s="17">
        <v>153</v>
      </c>
      <c r="H12" s="24">
        <v>0</v>
      </c>
      <c r="I12" s="11" t="s">
        <v>5</v>
      </c>
    </row>
    <row r="13" spans="2:17" x14ac:dyDescent="0.25">
      <c r="B13" s="22" t="s">
        <v>32</v>
      </c>
      <c r="C13" s="17">
        <v>8</v>
      </c>
      <c r="D13" s="17">
        <v>5</v>
      </c>
      <c r="E13" s="17">
        <v>40</v>
      </c>
      <c r="F13" s="17">
        <v>0</v>
      </c>
      <c r="G13" s="17">
        <v>4</v>
      </c>
      <c r="H13" s="24">
        <v>2</v>
      </c>
      <c r="I13" s="11" t="s">
        <v>5</v>
      </c>
    </row>
    <row r="14" spans="2:17" x14ac:dyDescent="0.25">
      <c r="B14" s="22" t="s">
        <v>87</v>
      </c>
      <c r="C14" s="17">
        <v>83</v>
      </c>
      <c r="D14" s="17">
        <v>0</v>
      </c>
      <c r="E14" s="17">
        <v>0</v>
      </c>
      <c r="F14" s="17">
        <v>0</v>
      </c>
      <c r="G14" s="17">
        <v>200</v>
      </c>
      <c r="H14" s="24">
        <v>391</v>
      </c>
      <c r="I14" s="11" t="s">
        <v>5</v>
      </c>
    </row>
    <row r="15" spans="2:17" x14ac:dyDescent="0.25">
      <c r="B15" s="22" t="s">
        <v>41</v>
      </c>
      <c r="C15" s="17"/>
      <c r="D15" s="17"/>
      <c r="E15" s="17"/>
      <c r="F15" s="17" t="s">
        <v>57</v>
      </c>
      <c r="G15" s="17">
        <v>0</v>
      </c>
      <c r="H15" s="24"/>
      <c r="I15" s="11" t="s">
        <v>5</v>
      </c>
    </row>
    <row r="16" spans="2:17" x14ac:dyDescent="0.25">
      <c r="B16" s="22" t="s">
        <v>88</v>
      </c>
      <c r="C16" s="17">
        <v>590</v>
      </c>
      <c r="D16" s="17">
        <v>437</v>
      </c>
      <c r="E16" s="17">
        <v>0</v>
      </c>
      <c r="F16" s="17">
        <v>0</v>
      </c>
      <c r="G16" s="17"/>
      <c r="H16" s="24"/>
      <c r="I16" s="11"/>
    </row>
    <row r="17" spans="2:9" x14ac:dyDescent="0.25">
      <c r="B17" s="22" t="s">
        <v>33</v>
      </c>
      <c r="C17" s="17">
        <v>1094</v>
      </c>
      <c r="D17" s="17">
        <v>936</v>
      </c>
      <c r="E17" s="17">
        <v>0</v>
      </c>
      <c r="F17" s="17">
        <v>1000</v>
      </c>
      <c r="G17" s="17"/>
      <c r="H17" s="24"/>
      <c r="I17" s="11"/>
    </row>
    <row r="18" spans="2:9" ht="15.75" x14ac:dyDescent="0.25">
      <c r="B18" s="23" t="s">
        <v>34</v>
      </c>
      <c r="C18" s="17">
        <v>2009</v>
      </c>
      <c r="D18" s="17">
        <v>1654</v>
      </c>
      <c r="E18" s="17">
        <v>2000</v>
      </c>
      <c r="F18" s="17">
        <v>2000</v>
      </c>
      <c r="G18" s="17"/>
      <c r="H18" s="24"/>
      <c r="I18" s="11"/>
    </row>
    <row r="19" spans="2:9" x14ac:dyDescent="0.25">
      <c r="B19" s="22" t="s">
        <v>35</v>
      </c>
      <c r="C19" s="17">
        <v>1798</v>
      </c>
      <c r="D19" s="17">
        <v>1401</v>
      </c>
      <c r="E19" s="17">
        <v>1000</v>
      </c>
      <c r="F19" s="17">
        <v>0</v>
      </c>
      <c r="G19" s="17"/>
      <c r="H19" s="24"/>
      <c r="I19" s="11"/>
    </row>
    <row r="20" spans="2:9" x14ac:dyDescent="0.25">
      <c r="B20" s="22" t="s">
        <v>36</v>
      </c>
      <c r="C20" s="17">
        <v>211</v>
      </c>
      <c r="D20" s="17">
        <v>192</v>
      </c>
      <c r="E20" s="17">
        <v>0</v>
      </c>
      <c r="F20" s="17">
        <v>0</v>
      </c>
      <c r="G20" s="17"/>
      <c r="H20" s="24"/>
      <c r="I20" s="11"/>
    </row>
    <row r="21" spans="2:9" x14ac:dyDescent="0.25">
      <c r="B21" s="22" t="s">
        <v>37</v>
      </c>
      <c r="C21" s="17">
        <v>1322</v>
      </c>
      <c r="D21" s="17">
        <v>1063</v>
      </c>
      <c r="E21" s="17">
        <v>0</v>
      </c>
      <c r="F21" s="17">
        <v>0</v>
      </c>
      <c r="G21" s="17"/>
      <c r="H21" s="24"/>
      <c r="I21" s="11"/>
    </row>
    <row r="22" spans="2:9" x14ac:dyDescent="0.25">
      <c r="B22" s="22" t="s">
        <v>38</v>
      </c>
      <c r="C22" s="17">
        <v>936</v>
      </c>
      <c r="D22" s="17">
        <v>686</v>
      </c>
      <c r="E22" s="17">
        <v>0</v>
      </c>
      <c r="F22" s="17">
        <v>0</v>
      </c>
      <c r="G22" s="17"/>
      <c r="H22" s="24"/>
      <c r="I22" s="11"/>
    </row>
    <row r="23" spans="2:9" x14ac:dyDescent="0.25">
      <c r="B23" s="22" t="s">
        <v>39</v>
      </c>
      <c r="C23" s="17">
        <v>211</v>
      </c>
      <c r="D23" s="17">
        <v>171</v>
      </c>
      <c r="E23" s="17">
        <v>0</v>
      </c>
      <c r="F23" s="17">
        <v>0</v>
      </c>
      <c r="G23" s="17"/>
      <c r="H23" s="24"/>
      <c r="I23" s="11"/>
    </row>
    <row r="24" spans="2:9" x14ac:dyDescent="0.25">
      <c r="B24" s="22" t="s">
        <v>40</v>
      </c>
      <c r="C24" s="17">
        <v>1183</v>
      </c>
      <c r="D24" s="17">
        <v>991</v>
      </c>
      <c r="E24" s="17">
        <v>1000</v>
      </c>
      <c r="F24" s="17">
        <v>1000</v>
      </c>
      <c r="G24" s="17"/>
      <c r="H24" s="24"/>
      <c r="I24" s="11"/>
    </row>
    <row r="25" spans="2:9" x14ac:dyDescent="0.25">
      <c r="B25" s="22" t="s">
        <v>42</v>
      </c>
      <c r="C25" s="17"/>
      <c r="D25" s="17" t="s">
        <v>57</v>
      </c>
      <c r="E25" s="17" t="s">
        <v>57</v>
      </c>
      <c r="F25" s="17" t="s">
        <v>57</v>
      </c>
      <c r="G25" s="17">
        <v>0</v>
      </c>
      <c r="H25" s="24"/>
      <c r="I25" s="11" t="s">
        <v>5</v>
      </c>
    </row>
    <row r="26" spans="2:9" x14ac:dyDescent="0.25">
      <c r="B26" s="22" t="s">
        <v>43</v>
      </c>
      <c r="C26" s="17">
        <v>974</v>
      </c>
      <c r="D26" s="17">
        <v>827</v>
      </c>
      <c r="E26" s="17">
        <v>0</v>
      </c>
      <c r="F26" s="17">
        <v>0</v>
      </c>
      <c r="G26" s="17"/>
      <c r="H26" s="24"/>
      <c r="I26" s="11"/>
    </row>
    <row r="27" spans="2:9" x14ac:dyDescent="0.25">
      <c r="B27" s="22" t="s">
        <v>44</v>
      </c>
      <c r="C27" s="17">
        <v>2030</v>
      </c>
      <c r="D27" s="17">
        <v>1695</v>
      </c>
      <c r="E27" s="17">
        <v>0</v>
      </c>
      <c r="F27" s="17">
        <v>0</v>
      </c>
      <c r="G27" s="17"/>
      <c r="H27" s="24"/>
      <c r="I27" s="11"/>
    </row>
    <row r="28" spans="2:9" x14ac:dyDescent="0.25">
      <c r="B28" s="22" t="s">
        <v>45</v>
      </c>
      <c r="C28" s="17">
        <v>2822</v>
      </c>
      <c r="D28" s="17">
        <v>2275</v>
      </c>
      <c r="E28" s="17">
        <v>0</v>
      </c>
      <c r="F28" s="17">
        <v>0</v>
      </c>
      <c r="G28" s="17"/>
      <c r="H28" s="24"/>
      <c r="I28" s="11"/>
    </row>
    <row r="29" spans="2:9" x14ac:dyDescent="0.25">
      <c r="B29" s="22" t="s">
        <v>46</v>
      </c>
      <c r="C29" s="17">
        <v>358</v>
      </c>
      <c r="D29" s="17">
        <v>150</v>
      </c>
      <c r="E29" s="17">
        <v>0</v>
      </c>
      <c r="F29" s="17">
        <v>0</v>
      </c>
      <c r="G29" s="17"/>
      <c r="H29" s="24"/>
      <c r="I29" s="11"/>
    </row>
    <row r="30" spans="2:9" x14ac:dyDescent="0.25">
      <c r="B30" s="22" t="s">
        <v>47</v>
      </c>
      <c r="C30" s="17">
        <v>4286</v>
      </c>
      <c r="D30" s="17">
        <v>3380</v>
      </c>
      <c r="E30" s="17">
        <v>2500</v>
      </c>
      <c r="F30" s="17">
        <v>2500</v>
      </c>
      <c r="G30" s="17"/>
      <c r="H30" s="24"/>
      <c r="I30" s="11"/>
    </row>
    <row r="31" spans="2:9" x14ac:dyDescent="0.25">
      <c r="B31" s="22" t="s">
        <v>48</v>
      </c>
      <c r="C31" s="17">
        <v>986</v>
      </c>
      <c r="D31" s="17">
        <v>775</v>
      </c>
      <c r="E31" s="17">
        <v>0</v>
      </c>
      <c r="F31" s="17">
        <v>0</v>
      </c>
      <c r="G31" s="17"/>
      <c r="H31" s="24"/>
      <c r="I31" s="11"/>
    </row>
    <row r="32" spans="2:9" x14ac:dyDescent="0.25">
      <c r="B32" s="22" t="s">
        <v>49</v>
      </c>
      <c r="C32" s="17">
        <v>1042</v>
      </c>
      <c r="D32" s="17">
        <v>848</v>
      </c>
      <c r="E32" s="17">
        <v>0</v>
      </c>
      <c r="F32" s="17">
        <v>0</v>
      </c>
      <c r="G32" s="17"/>
      <c r="H32" s="24"/>
      <c r="I32" s="11"/>
    </row>
    <row r="33" spans="2:16" x14ac:dyDescent="0.25">
      <c r="B33" s="22" t="s">
        <v>50</v>
      </c>
      <c r="C33" s="17">
        <v>1248</v>
      </c>
      <c r="D33" s="17">
        <v>996</v>
      </c>
      <c r="E33" s="17">
        <v>0</v>
      </c>
      <c r="F33" s="17">
        <v>0</v>
      </c>
      <c r="G33" s="17"/>
      <c r="H33" s="24"/>
      <c r="I33" s="11"/>
    </row>
    <row r="34" spans="2:16" x14ac:dyDescent="0.25">
      <c r="B34" s="22" t="s">
        <v>51</v>
      </c>
      <c r="C34" s="17">
        <v>895</v>
      </c>
      <c r="D34" s="17">
        <v>733</v>
      </c>
      <c r="E34" s="17">
        <v>0</v>
      </c>
      <c r="F34" s="17">
        <v>0</v>
      </c>
      <c r="G34" s="17"/>
      <c r="H34" s="24"/>
      <c r="I34" s="11"/>
    </row>
    <row r="35" spans="2:16" x14ac:dyDescent="0.25">
      <c r="B35" s="22" t="s">
        <v>4</v>
      </c>
      <c r="C35" s="17">
        <v>0</v>
      </c>
      <c r="D35" s="17">
        <v>0</v>
      </c>
      <c r="E35" s="17">
        <v>30</v>
      </c>
      <c r="F35" s="17">
        <v>0</v>
      </c>
      <c r="G35" s="17"/>
      <c r="H35" s="24"/>
      <c r="I35" s="11"/>
    </row>
    <row r="36" spans="2:16" x14ac:dyDescent="0.25">
      <c r="B36" s="22"/>
      <c r="C36" s="17"/>
      <c r="D36" s="17"/>
      <c r="E36" s="17"/>
      <c r="F36" s="17"/>
      <c r="G36" s="17"/>
      <c r="H36" s="24"/>
      <c r="I36" s="11"/>
    </row>
    <row r="37" spans="2:16" x14ac:dyDescent="0.25">
      <c r="B37" s="22" t="s">
        <v>11</v>
      </c>
      <c r="C37" s="17">
        <v>17.29</v>
      </c>
      <c r="D37" s="17">
        <v>28.99</v>
      </c>
      <c r="E37" s="17">
        <v>44.99</v>
      </c>
      <c r="F37" s="17">
        <v>24.99</v>
      </c>
      <c r="G37" s="17">
        <v>77</v>
      </c>
      <c r="H37" s="24">
        <v>74.97</v>
      </c>
      <c r="I37" s="11" t="s">
        <v>13</v>
      </c>
    </row>
    <row r="38" spans="2:16" x14ac:dyDescent="0.25">
      <c r="B38" s="25" t="s">
        <v>56</v>
      </c>
      <c r="C38" s="17">
        <v>27</v>
      </c>
      <c r="D38" s="17">
        <v>18</v>
      </c>
      <c r="E38" s="17">
        <v>17</v>
      </c>
      <c r="F38" s="17">
        <v>59</v>
      </c>
      <c r="G38" s="17">
        <v>30</v>
      </c>
      <c r="H38" s="24">
        <v>30</v>
      </c>
      <c r="I38" s="11"/>
    </row>
    <row r="39" spans="2:16" s="32" customFormat="1" ht="21.75" thickBot="1" x14ac:dyDescent="0.3">
      <c r="B39" s="31"/>
      <c r="C39" s="33">
        <f t="shared" ref="C39:H39" si="0">C37/C38</f>
        <v>0.64037037037037037</v>
      </c>
      <c r="D39" s="33">
        <f t="shared" si="0"/>
        <v>1.6105555555555555</v>
      </c>
      <c r="E39" s="33">
        <f t="shared" si="0"/>
        <v>2.6464705882352941</v>
      </c>
      <c r="F39" s="33">
        <f t="shared" si="0"/>
        <v>0.42355932203389829</v>
      </c>
      <c r="G39" s="33">
        <f t="shared" si="0"/>
        <v>2.5666666666666669</v>
      </c>
      <c r="H39" s="33">
        <f t="shared" si="0"/>
        <v>2.4990000000000001</v>
      </c>
      <c r="I39" s="35" t="s">
        <v>64</v>
      </c>
    </row>
    <row r="41" spans="2:16" ht="27.75" customHeight="1" thickBot="1" x14ac:dyDescent="0.3">
      <c r="B41" s="51" t="s">
        <v>73</v>
      </c>
      <c r="C41" s="2"/>
      <c r="D41" s="2"/>
      <c r="E41" s="2"/>
      <c r="F41" s="2"/>
      <c r="G41" s="2"/>
      <c r="H41" s="2"/>
    </row>
    <row r="42" spans="2:16" ht="131.25" customHeight="1" x14ac:dyDescent="0.25">
      <c r="B42" s="52"/>
      <c r="C42" s="39" t="str">
        <f>C1</f>
        <v>NOW Sports Pea Protein Powder,2-Pound</v>
      </c>
      <c r="D42" s="39" t="str">
        <f t="shared" ref="D42:H42" si="1">D1</f>
        <v>Trader Joes Organic Pea Protein</v>
      </c>
      <c r="E42" s="39" t="str">
        <f t="shared" si="1"/>
        <v xml:space="preserve">VEGA Organic Protein &amp; Greens    </v>
      </c>
      <c r="F42" s="40" t="str">
        <f t="shared" si="1"/>
        <v>BodyTech BCAA Glutamine Supports Muscle Endurance, Growth Recovery with Essential Amino Acids</v>
      </c>
      <c r="G42" s="39" t="str">
        <f t="shared" si="1"/>
        <v>Arbonne Vanilla Protein Shake Mix (Powder) #2070</v>
      </c>
      <c r="H42" s="41" t="str">
        <f t="shared" si="1"/>
        <v>The Myers Way Paleo Protein</v>
      </c>
    </row>
    <row r="43" spans="2:16" ht="30.75" customHeight="1" x14ac:dyDescent="0.25">
      <c r="B43" s="42" t="s">
        <v>74</v>
      </c>
      <c r="C43" s="43" t="str">
        <f t="shared" ref="C43:H43" si="2">C5</f>
        <v>OK</v>
      </c>
      <c r="D43" s="43" t="str">
        <f t="shared" si="2"/>
        <v>GREAT</v>
      </c>
      <c r="E43" s="43" t="str">
        <f t="shared" si="2"/>
        <v>GOOD</v>
      </c>
      <c r="F43" s="43" t="str">
        <f t="shared" si="2"/>
        <v>GOOD</v>
      </c>
      <c r="G43" s="43" t="str">
        <f t="shared" si="2"/>
        <v>GOOD</v>
      </c>
      <c r="H43" s="44" t="str">
        <f t="shared" si="2"/>
        <v>OK</v>
      </c>
      <c r="I43" s="2" t="s">
        <v>57</v>
      </c>
      <c r="M43" s="1" t="s">
        <v>95</v>
      </c>
      <c r="N43" s="1" t="s">
        <v>97</v>
      </c>
      <c r="O43" s="1" t="s">
        <v>98</v>
      </c>
    </row>
    <row r="44" spans="2:16" ht="53.25" customHeight="1" x14ac:dyDescent="0.25">
      <c r="B44" s="42" t="s">
        <v>75</v>
      </c>
      <c r="C44" s="45" t="s">
        <v>77</v>
      </c>
      <c r="D44" s="45" t="s">
        <v>77</v>
      </c>
      <c r="E44" s="45" t="s">
        <v>89</v>
      </c>
      <c r="F44" s="43" t="s">
        <v>82</v>
      </c>
      <c r="G44" s="43" t="s">
        <v>90</v>
      </c>
      <c r="H44" s="44" t="s">
        <v>90</v>
      </c>
      <c r="M44" s="1">
        <v>4</v>
      </c>
      <c r="N44" s="1">
        <v>50</v>
      </c>
      <c r="O44" s="1">
        <f>2.4</f>
        <v>2.4</v>
      </c>
      <c r="P44" s="1">
        <f>M44*N44*O44</f>
        <v>480</v>
      </c>
    </row>
    <row r="45" spans="2:16" ht="32.25" customHeight="1" x14ac:dyDescent="0.25">
      <c r="B45" s="42" t="s">
        <v>76</v>
      </c>
      <c r="C45" s="46">
        <f>C39</f>
        <v>0.64037037037037037</v>
      </c>
      <c r="D45" s="46">
        <f t="shared" ref="D45:H45" si="3">D39</f>
        <v>1.6105555555555555</v>
      </c>
      <c r="E45" s="46">
        <f t="shared" si="3"/>
        <v>2.6464705882352941</v>
      </c>
      <c r="F45" s="46">
        <f t="shared" si="3"/>
        <v>0.42355932203389829</v>
      </c>
      <c r="G45" s="46">
        <f t="shared" si="3"/>
        <v>2.5666666666666669</v>
      </c>
      <c r="H45" s="47">
        <f t="shared" si="3"/>
        <v>2.4990000000000001</v>
      </c>
      <c r="M45" s="1" t="s">
        <v>96</v>
      </c>
    </row>
    <row r="46" spans="2:16" ht="35.25" customHeight="1" thickBot="1" x14ac:dyDescent="0.3">
      <c r="B46" s="48" t="s">
        <v>78</v>
      </c>
      <c r="C46" s="49" t="s">
        <v>79</v>
      </c>
      <c r="D46" s="49" t="s">
        <v>80</v>
      </c>
      <c r="E46" s="49" t="s">
        <v>81</v>
      </c>
      <c r="F46" s="49" t="s">
        <v>83</v>
      </c>
      <c r="G46" s="49" t="s">
        <v>81</v>
      </c>
      <c r="H46" s="50" t="s">
        <v>81</v>
      </c>
      <c r="M46" s="1">
        <f>7/57</f>
        <v>0.12280701754385964</v>
      </c>
    </row>
    <row r="47" spans="2:16" x14ac:dyDescent="0.25">
      <c r="B47" s="53"/>
      <c r="C47" s="53"/>
      <c r="D47" s="53"/>
      <c r="E47" s="53"/>
      <c r="F47" s="53"/>
      <c r="G47" s="53"/>
      <c r="H47" s="53"/>
    </row>
    <row r="48" spans="2:16" x14ac:dyDescent="0.25">
      <c r="B48" s="54" t="s">
        <v>94</v>
      </c>
      <c r="C48" s="53"/>
      <c r="D48" s="53"/>
      <c r="E48" s="53"/>
      <c r="F48" s="53"/>
      <c r="G48" s="53"/>
      <c r="H48" s="53"/>
    </row>
    <row r="49" spans="2:8" x14ac:dyDescent="0.25">
      <c r="B49" s="55" t="s">
        <v>93</v>
      </c>
      <c r="C49" s="53"/>
      <c r="D49" s="53"/>
      <c r="E49" s="53"/>
      <c r="F49" s="53"/>
      <c r="G49" s="53"/>
      <c r="H49" s="53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7A9ED-967C-4F85-A672-371E75D31CFA}">
  <dimension ref="B1:O28"/>
  <sheetViews>
    <sheetView workbookViewId="0"/>
  </sheetViews>
  <sheetFormatPr defaultRowHeight="15" x14ac:dyDescent="0.25"/>
  <cols>
    <col min="1" max="1" width="5.28515625" style="1" customWidth="1"/>
    <col min="2" max="2" width="33.140625" style="1" customWidth="1"/>
    <col min="3" max="3" width="8.28515625" style="2" bestFit="1" customWidth="1"/>
    <col min="4" max="4" width="11.42578125" style="2" bestFit="1" customWidth="1"/>
    <col min="5" max="8" width="15" style="2" customWidth="1"/>
    <col min="9" max="9" width="14.28515625" style="2" customWidth="1"/>
    <col min="10" max="10" width="12.5703125" style="2" customWidth="1"/>
    <col min="11" max="11" width="12.85546875" style="2" bestFit="1" customWidth="1"/>
    <col min="12" max="12" width="30" style="1" customWidth="1"/>
    <col min="13" max="13" width="10.42578125" style="1" bestFit="1" customWidth="1"/>
    <col min="14" max="16384" width="9.140625" style="1"/>
  </cols>
  <sheetData>
    <row r="1" spans="2:15" ht="15.75" thickBot="1" x14ac:dyDescent="0.3"/>
    <row r="2" spans="2:15" x14ac:dyDescent="0.25">
      <c r="B2" s="77"/>
      <c r="C2" s="63" t="s">
        <v>102</v>
      </c>
      <c r="D2" s="63" t="s">
        <v>103</v>
      </c>
      <c r="E2" s="63" t="s">
        <v>138</v>
      </c>
      <c r="F2" s="63" t="s">
        <v>139</v>
      </c>
      <c r="G2" s="63" t="s">
        <v>140</v>
      </c>
      <c r="H2" s="63" t="s">
        <v>0</v>
      </c>
      <c r="I2" s="63" t="s">
        <v>142</v>
      </c>
      <c r="J2" s="63" t="s">
        <v>135</v>
      </c>
      <c r="K2" s="63" t="s">
        <v>124</v>
      </c>
      <c r="L2" s="64" t="s">
        <v>57</v>
      </c>
      <c r="M2" s="2" t="s">
        <v>57</v>
      </c>
    </row>
    <row r="3" spans="2:15" s="56" customFormat="1" ht="12" x14ac:dyDescent="0.25">
      <c r="B3" s="78"/>
      <c r="C3" s="65" t="s">
        <v>133</v>
      </c>
      <c r="D3" s="65"/>
      <c r="E3" s="65" t="s">
        <v>109</v>
      </c>
      <c r="F3" s="65" t="s">
        <v>109</v>
      </c>
      <c r="G3" s="65" t="s">
        <v>109</v>
      </c>
      <c r="H3" s="65"/>
      <c r="I3" s="65" t="s">
        <v>143</v>
      </c>
      <c r="J3" s="65" t="s">
        <v>136</v>
      </c>
      <c r="K3" s="65"/>
      <c r="L3" s="66"/>
    </row>
    <row r="4" spans="2:15" x14ac:dyDescent="0.25">
      <c r="B4" s="67" t="s">
        <v>101</v>
      </c>
      <c r="C4" s="80">
        <v>8</v>
      </c>
      <c r="D4" s="68" t="s">
        <v>111</v>
      </c>
      <c r="E4" s="68">
        <f>6*C4</f>
        <v>48</v>
      </c>
      <c r="F4" s="68">
        <f>C4*1</f>
        <v>8</v>
      </c>
      <c r="G4" s="68">
        <f>4*C4</f>
        <v>32</v>
      </c>
      <c r="H4" s="68">
        <f>C4*60</f>
        <v>480</v>
      </c>
      <c r="I4" s="71">
        <f>C4/12*0.79</f>
        <v>0.52666666666666662</v>
      </c>
      <c r="J4" s="70">
        <f>50*C4/28.3</f>
        <v>14.134275618374557</v>
      </c>
      <c r="K4" s="68"/>
      <c r="L4" s="69" t="s">
        <v>131</v>
      </c>
    </row>
    <row r="5" spans="2:15" x14ac:dyDescent="0.25">
      <c r="B5" s="67" t="s">
        <v>100</v>
      </c>
      <c r="C5" s="80">
        <v>0.5</v>
      </c>
      <c r="D5" s="68" t="s">
        <v>104</v>
      </c>
      <c r="E5" s="68">
        <v>0</v>
      </c>
      <c r="F5" s="68">
        <v>0</v>
      </c>
      <c r="G5" s="68">
        <v>0</v>
      </c>
      <c r="H5" s="68">
        <v>0</v>
      </c>
      <c r="I5" s="71">
        <f>C5*2/6</f>
        <v>0.16666666666666666</v>
      </c>
      <c r="J5" s="70">
        <f>0.17*C5</f>
        <v>8.5000000000000006E-2</v>
      </c>
      <c r="K5" s="68"/>
      <c r="L5" s="69" t="s">
        <v>132</v>
      </c>
    </row>
    <row r="6" spans="2:15" x14ac:dyDescent="0.25">
      <c r="B6" s="67" t="s">
        <v>105</v>
      </c>
      <c r="C6" s="80">
        <v>0.5</v>
      </c>
      <c r="D6" s="68" t="s">
        <v>106</v>
      </c>
      <c r="E6" s="68">
        <f>0</f>
        <v>0</v>
      </c>
      <c r="F6" s="68">
        <f>2*C6</f>
        <v>1</v>
      </c>
      <c r="G6" s="70">
        <f>4.5*C6</f>
        <v>2.25</v>
      </c>
      <c r="H6" s="68">
        <f>45*C6</f>
        <v>22.5</v>
      </c>
      <c r="I6" s="71">
        <f>35.88/(12*4)*C6</f>
        <v>0.37375000000000003</v>
      </c>
      <c r="J6" s="70">
        <f>8*C6</f>
        <v>4</v>
      </c>
      <c r="K6" s="71"/>
      <c r="L6" s="69" t="s">
        <v>114</v>
      </c>
    </row>
    <row r="7" spans="2:15" x14ac:dyDescent="0.25">
      <c r="B7" s="67" t="s">
        <v>107</v>
      </c>
      <c r="C7" s="80">
        <v>0.5</v>
      </c>
      <c r="D7" s="68" t="s">
        <v>106</v>
      </c>
      <c r="E7" s="68">
        <v>0</v>
      </c>
      <c r="F7" s="68">
        <f>200*C7</f>
        <v>100</v>
      </c>
      <c r="G7" s="68">
        <v>0</v>
      </c>
      <c r="H7" s="68">
        <f>200*15/4*C7</f>
        <v>375</v>
      </c>
      <c r="I7" s="71">
        <f>9.46/(16*2)*(48/113)*C7</f>
        <v>6.2787610619469025E-2</v>
      </c>
      <c r="J7" s="70">
        <f>8*C7</f>
        <v>4</v>
      </c>
      <c r="K7" s="71"/>
      <c r="L7" s="69" t="s">
        <v>120</v>
      </c>
    </row>
    <row r="8" spans="2:15" x14ac:dyDescent="0.25">
      <c r="B8" s="67" t="s">
        <v>99</v>
      </c>
      <c r="C8" s="80">
        <v>2</v>
      </c>
      <c r="D8" s="68" t="s">
        <v>108</v>
      </c>
      <c r="E8" s="68">
        <f>24*C8</f>
        <v>48</v>
      </c>
      <c r="F8" s="68">
        <f>1*C8</f>
        <v>2</v>
      </c>
      <c r="G8" s="68">
        <f>2*C8</f>
        <v>4</v>
      </c>
      <c r="H8" s="68">
        <f>120*C8</f>
        <v>240</v>
      </c>
      <c r="I8" s="71">
        <f>18.37/27*C8</f>
        <v>1.3607407407407408</v>
      </c>
      <c r="J8" s="70">
        <f>C8*33/28.3</f>
        <v>2.3321554770318023</v>
      </c>
      <c r="K8" s="71"/>
      <c r="L8" s="69" t="s">
        <v>119</v>
      </c>
    </row>
    <row r="9" spans="2:15" x14ac:dyDescent="0.25">
      <c r="B9" s="67" t="s">
        <v>110</v>
      </c>
      <c r="C9" s="80">
        <v>0.5</v>
      </c>
      <c r="D9" s="68" t="s">
        <v>106</v>
      </c>
      <c r="E9" s="68">
        <f>2*C9*4</f>
        <v>4</v>
      </c>
      <c r="F9" s="68">
        <f>24*C9*4</f>
        <v>48</v>
      </c>
      <c r="G9" s="68">
        <v>0</v>
      </c>
      <c r="H9" s="68">
        <f>110*C9*4</f>
        <v>220</v>
      </c>
      <c r="I9" s="71">
        <f>5.35/15*C9*4</f>
        <v>0.71333333333333326</v>
      </c>
      <c r="J9" s="70">
        <f>8*C9</f>
        <v>4</v>
      </c>
      <c r="K9" s="71"/>
      <c r="L9" s="79" t="s">
        <v>115</v>
      </c>
    </row>
    <row r="10" spans="2:15" x14ac:dyDescent="0.25">
      <c r="B10" s="67" t="s">
        <v>122</v>
      </c>
      <c r="C10" s="80">
        <v>0.25</v>
      </c>
      <c r="D10" s="68" t="s">
        <v>106</v>
      </c>
      <c r="E10" s="68">
        <f>1*16*C10</f>
        <v>4</v>
      </c>
      <c r="F10" s="68">
        <f>9*16*C10</f>
        <v>36</v>
      </c>
      <c r="G10" s="68">
        <f>5*16*C10</f>
        <v>20</v>
      </c>
      <c r="H10" s="68">
        <f>80*16*C10</f>
        <v>320</v>
      </c>
      <c r="I10" s="71">
        <f>5.29/19*16*C10</f>
        <v>1.1136842105263158</v>
      </c>
      <c r="J10" s="70">
        <f>8*C10</f>
        <v>2</v>
      </c>
      <c r="K10" s="71"/>
      <c r="L10" s="79" t="s">
        <v>123</v>
      </c>
    </row>
    <row r="11" spans="2:15" x14ac:dyDescent="0.25">
      <c r="B11" s="72" t="s">
        <v>134</v>
      </c>
      <c r="C11" s="68"/>
      <c r="D11" s="68"/>
      <c r="E11" s="73">
        <f t="shared" ref="E11:H11" si="0">SUM(E4:E10)</f>
        <v>104</v>
      </c>
      <c r="F11" s="73">
        <f t="shared" si="0"/>
        <v>195</v>
      </c>
      <c r="G11" s="73">
        <f t="shared" si="0"/>
        <v>58.25</v>
      </c>
      <c r="H11" s="73">
        <f t="shared" si="0"/>
        <v>1657.5</v>
      </c>
      <c r="I11" s="70">
        <f>SUM(I4:I10)</f>
        <v>4.3176292285531925</v>
      </c>
      <c r="J11" s="70">
        <f>SUM(J4:J10)</f>
        <v>30.551431095406361</v>
      </c>
      <c r="K11" s="70"/>
      <c r="L11" s="69"/>
      <c r="N11" s="34">
        <f>I11*50</f>
        <v>215.88146142765962</v>
      </c>
      <c r="O11" s="34">
        <f>N12/N11</f>
        <v>4</v>
      </c>
    </row>
    <row r="12" spans="2:15" ht="15.75" thickBot="1" x14ac:dyDescent="0.3">
      <c r="B12" s="72" t="s">
        <v>112</v>
      </c>
      <c r="C12" s="68"/>
      <c r="D12" s="68"/>
      <c r="E12" s="70">
        <f>E11/16</f>
        <v>6.5</v>
      </c>
      <c r="F12" s="70">
        <f t="shared" ref="F12:H12" si="1">F11/16</f>
        <v>12.1875</v>
      </c>
      <c r="G12" s="70">
        <f t="shared" si="1"/>
        <v>3.640625</v>
      </c>
      <c r="H12" s="73">
        <f t="shared" si="1"/>
        <v>103.59375</v>
      </c>
      <c r="I12" s="70">
        <f>I11/16</f>
        <v>0.26985182678457453</v>
      </c>
      <c r="J12" s="70">
        <f>J11/16</f>
        <v>1.9094644434628976</v>
      </c>
      <c r="K12" s="70"/>
      <c r="L12" s="69"/>
      <c r="N12" s="34">
        <f>N11*4</f>
        <v>863.52584571063846</v>
      </c>
    </row>
    <row r="13" spans="2:15" ht="30.75" customHeight="1" thickBot="1" x14ac:dyDescent="0.3">
      <c r="B13" s="57" t="s">
        <v>113</v>
      </c>
      <c r="C13" s="58"/>
      <c r="D13" s="58"/>
      <c r="E13" s="61">
        <f>E12*2</f>
        <v>13</v>
      </c>
      <c r="F13" s="59">
        <f t="shared" ref="F13:H13" si="2">F12*2</f>
        <v>24.375</v>
      </c>
      <c r="G13" s="61">
        <f t="shared" si="2"/>
        <v>7.28125</v>
      </c>
      <c r="H13" s="60">
        <f t="shared" si="2"/>
        <v>207.1875</v>
      </c>
      <c r="I13" s="62">
        <f>I12*2</f>
        <v>0.53970365356914907</v>
      </c>
      <c r="J13" s="82">
        <f>J12*2</f>
        <v>3.8189288869257951</v>
      </c>
      <c r="K13" s="81" t="s">
        <v>125</v>
      </c>
      <c r="L13" s="69"/>
      <c r="N13" s="34">
        <f>N12-N11</f>
        <v>647.64438428297888</v>
      </c>
    </row>
    <row r="14" spans="2:15" x14ac:dyDescent="0.25">
      <c r="B14" s="67"/>
      <c r="C14" s="68"/>
      <c r="D14" s="68"/>
      <c r="E14" s="68" t="str">
        <f>E2</f>
        <v>Protein (g)</v>
      </c>
      <c r="F14" s="68" t="str">
        <f t="shared" ref="F14:H14" si="3">F2</f>
        <v>Carbohydrate (g)</v>
      </c>
      <c r="G14" s="68" t="str">
        <f t="shared" si="3"/>
        <v>Fat (g)</v>
      </c>
      <c r="H14" s="68" t="str">
        <f t="shared" si="3"/>
        <v>Calories</v>
      </c>
      <c r="I14" s="68" t="str">
        <f>I2</f>
        <v>Cost ($)</v>
      </c>
      <c r="J14" s="68" t="s">
        <v>137</v>
      </c>
      <c r="K14" s="68" t="s">
        <v>151</v>
      </c>
      <c r="L14" s="69"/>
    </row>
    <row r="15" spans="2:15" x14ac:dyDescent="0.25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9"/>
    </row>
    <row r="16" spans="2:15" x14ac:dyDescent="0.25">
      <c r="B16" s="67" t="s">
        <v>121</v>
      </c>
      <c r="C16" s="68"/>
      <c r="D16" s="68"/>
      <c r="E16" s="68">
        <v>12</v>
      </c>
      <c r="F16" s="68">
        <v>14</v>
      </c>
      <c r="G16" s="68">
        <v>1</v>
      </c>
      <c r="H16" s="68">
        <v>210</v>
      </c>
      <c r="I16" s="71">
        <f>29.2/12</f>
        <v>2.4333333333333331</v>
      </c>
      <c r="J16" s="71"/>
      <c r="K16" s="71" t="s">
        <v>126</v>
      </c>
      <c r="L16" s="69" t="s">
        <v>116</v>
      </c>
    </row>
    <row r="17" spans="2:12" x14ac:dyDescent="0.25">
      <c r="B17" s="67" t="s">
        <v>117</v>
      </c>
      <c r="C17" s="68"/>
      <c r="D17" s="68"/>
      <c r="E17" s="68">
        <v>9</v>
      </c>
      <c r="F17" s="68">
        <v>44</v>
      </c>
      <c r="G17" s="68">
        <v>5</v>
      </c>
      <c r="H17" s="68">
        <v>250</v>
      </c>
      <c r="I17" s="71">
        <f>24.52/12</f>
        <v>2.0433333333333334</v>
      </c>
      <c r="J17" s="71"/>
      <c r="K17" s="71" t="s">
        <v>125</v>
      </c>
      <c r="L17" s="69" t="s">
        <v>118</v>
      </c>
    </row>
    <row r="18" spans="2:12" ht="15.75" thickBot="1" x14ac:dyDescent="0.3"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6"/>
    </row>
    <row r="19" spans="2:12" ht="15.75" thickBot="1" x14ac:dyDescent="0.3"/>
    <row r="20" spans="2:12" ht="18.75" x14ac:dyDescent="0.25">
      <c r="B20" s="85" t="s">
        <v>141</v>
      </c>
      <c r="C20" s="63"/>
      <c r="D20" s="63"/>
      <c r="E20" s="90" t="str">
        <f>E2</f>
        <v>Protein (g)</v>
      </c>
      <c r="F20" s="90" t="str">
        <f>H2</f>
        <v>Calories</v>
      </c>
      <c r="G20" s="91" t="str">
        <f>I2</f>
        <v>Cost ($)</v>
      </c>
      <c r="I20" s="2">
        <f>(20916-20209)/20916</f>
        <v>3.3801874163319943E-2</v>
      </c>
    </row>
    <row r="21" spans="2:12" ht="21.75" customHeight="1" x14ac:dyDescent="0.25">
      <c r="B21" s="92" t="s">
        <v>150</v>
      </c>
      <c r="C21" s="93"/>
      <c r="D21" s="93"/>
      <c r="E21" s="93">
        <v>13</v>
      </c>
      <c r="F21" s="93">
        <v>207</v>
      </c>
      <c r="G21" s="94">
        <v>0.54</v>
      </c>
      <c r="I21" s="2">
        <f xml:space="preserve"> (32497-29147)/32497</f>
        <v>0.10308643874819214</v>
      </c>
    </row>
    <row r="22" spans="2:12" ht="21.75" customHeight="1" x14ac:dyDescent="0.25">
      <c r="B22" s="87" t="s">
        <v>145</v>
      </c>
      <c r="C22" s="68"/>
      <c r="D22" s="68"/>
      <c r="E22" s="68">
        <v>16</v>
      </c>
      <c r="F22" s="68">
        <v>237</v>
      </c>
      <c r="G22" s="86">
        <v>0.56999999999999995</v>
      </c>
      <c r="I22" s="2">
        <f>70000*0.04</f>
        <v>2800</v>
      </c>
      <c r="J22" s="2">
        <f>I22/12</f>
        <v>233.33333333333334</v>
      </c>
    </row>
    <row r="23" spans="2:12" ht="21.75" customHeight="1" x14ac:dyDescent="0.25">
      <c r="B23" s="87" t="s">
        <v>144</v>
      </c>
      <c r="C23" s="68"/>
      <c r="D23" s="68"/>
      <c r="E23" s="68">
        <v>19</v>
      </c>
      <c r="F23" s="68">
        <v>237</v>
      </c>
      <c r="G23" s="86">
        <v>0.71</v>
      </c>
    </row>
    <row r="24" spans="2:12" ht="21.75" customHeight="1" x14ac:dyDescent="0.25">
      <c r="B24" s="87" t="s">
        <v>146</v>
      </c>
      <c r="C24" s="68"/>
      <c r="D24" s="68"/>
      <c r="E24" s="68">
        <v>13</v>
      </c>
      <c r="F24" s="68">
        <v>167</v>
      </c>
      <c r="G24" s="86">
        <v>0.4</v>
      </c>
    </row>
    <row r="25" spans="2:12" ht="21.75" customHeight="1" x14ac:dyDescent="0.25">
      <c r="B25" s="87" t="s">
        <v>147</v>
      </c>
      <c r="C25" s="68"/>
      <c r="D25" s="68"/>
      <c r="E25" s="68">
        <v>13</v>
      </c>
      <c r="F25" s="68">
        <v>184</v>
      </c>
      <c r="G25" s="86">
        <v>0.54</v>
      </c>
    </row>
    <row r="26" spans="2:12" ht="21.75" customHeight="1" x14ac:dyDescent="0.25">
      <c r="B26" s="87"/>
      <c r="C26" s="68"/>
      <c r="D26" s="68"/>
      <c r="E26" s="68"/>
      <c r="F26" s="68"/>
      <c r="G26" s="86"/>
    </row>
    <row r="27" spans="2:12" ht="21.75" customHeight="1" x14ac:dyDescent="0.25">
      <c r="B27" s="87" t="s">
        <v>148</v>
      </c>
      <c r="C27" s="68"/>
      <c r="D27" s="68"/>
      <c r="E27" s="68">
        <f>E16</f>
        <v>12</v>
      </c>
      <c r="F27" s="68">
        <f>H16</f>
        <v>210</v>
      </c>
      <c r="G27" s="86">
        <f>I16</f>
        <v>2.4333333333333331</v>
      </c>
    </row>
    <row r="28" spans="2:12" ht="21.75" customHeight="1" thickBot="1" x14ac:dyDescent="0.3">
      <c r="B28" s="88" t="s">
        <v>149</v>
      </c>
      <c r="C28" s="75"/>
      <c r="D28" s="75"/>
      <c r="E28" s="75">
        <f>E17</f>
        <v>9</v>
      </c>
      <c r="F28" s="75">
        <f>H17</f>
        <v>250</v>
      </c>
      <c r="G28" s="89">
        <f>I17</f>
        <v>2.0433333333333334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90D3C-B455-4DBE-AED6-938AB4993565}">
  <dimension ref="A2:F7"/>
  <sheetViews>
    <sheetView workbookViewId="0"/>
  </sheetViews>
  <sheetFormatPr defaultRowHeight="15" x14ac:dyDescent="0.25"/>
  <cols>
    <col min="2" max="6" width="17.140625" customWidth="1"/>
  </cols>
  <sheetData>
    <row r="2" spans="1:6" ht="15.75" thickBot="1" x14ac:dyDescent="0.3">
      <c r="A2" s="2"/>
      <c r="B2" s="2"/>
      <c r="C2" s="2"/>
      <c r="D2" s="2"/>
      <c r="E2" s="2"/>
    </row>
    <row r="3" spans="1:6" s="2" customFormat="1" ht="63" customHeight="1" x14ac:dyDescent="0.25">
      <c r="B3" s="98"/>
      <c r="C3" s="83" t="s">
        <v>128</v>
      </c>
      <c r="D3" s="83" t="s">
        <v>127</v>
      </c>
      <c r="E3" s="83" t="s">
        <v>129</v>
      </c>
      <c r="F3" s="97" t="s">
        <v>152</v>
      </c>
    </row>
    <row r="4" spans="1:6" s="2" customFormat="1" ht="63" customHeight="1" thickBot="1" x14ac:dyDescent="0.3">
      <c r="B4" s="95">
        <v>60</v>
      </c>
      <c r="C4" s="84">
        <f>B4*90</f>
        <v>5400</v>
      </c>
      <c r="D4" s="84">
        <v>10</v>
      </c>
      <c r="E4" s="84">
        <v>50</v>
      </c>
      <c r="F4" s="96">
        <f>C4*D4*E4</f>
        <v>2700000</v>
      </c>
    </row>
    <row r="5" spans="1:6" x14ac:dyDescent="0.25">
      <c r="A5" s="2"/>
      <c r="B5" s="2"/>
      <c r="C5" s="2"/>
      <c r="D5" s="2"/>
      <c r="E5" s="2"/>
    </row>
    <row r="7" spans="1:6" x14ac:dyDescent="0.25">
      <c r="B7" t="s">
        <v>57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03EC-ACDF-4C0B-851F-66EFD20D4FD2}">
  <dimension ref="B2:V54"/>
  <sheetViews>
    <sheetView zoomScale="85" workbookViewId="0"/>
  </sheetViews>
  <sheetFormatPr defaultRowHeight="22.5" customHeight="1" x14ac:dyDescent="0.25"/>
  <cols>
    <col min="1" max="1" width="9.140625" style="1"/>
    <col min="2" max="2" width="10.85546875" style="1" customWidth="1"/>
    <col min="3" max="5" width="9.140625" style="2"/>
    <col min="6" max="6" width="11.42578125" style="2" customWidth="1"/>
    <col min="7" max="15" width="9.140625" style="2"/>
    <col min="16" max="17" width="9.140625" style="1"/>
    <col min="18" max="18" width="10.42578125" style="1" bestFit="1" customWidth="1"/>
    <col min="19" max="16384" width="9.140625" style="1"/>
  </cols>
  <sheetData>
    <row r="2" spans="2:18" ht="22.5" customHeight="1" thickBot="1" x14ac:dyDescent="0.3">
      <c r="B2" s="53" t="s">
        <v>153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3"/>
      <c r="Q2" s="53"/>
      <c r="R2" s="53"/>
    </row>
    <row r="3" spans="2:18" ht="22.5" customHeight="1" x14ac:dyDescent="0.25">
      <c r="B3" s="100"/>
      <c r="C3" s="63" t="s">
        <v>155</v>
      </c>
      <c r="D3" s="63"/>
      <c r="E3" s="63" t="s">
        <v>156</v>
      </c>
      <c r="F3" s="63"/>
      <c r="G3" s="63" t="s">
        <v>157</v>
      </c>
      <c r="H3" s="63"/>
      <c r="I3" s="63" t="s">
        <v>158</v>
      </c>
      <c r="J3" s="63"/>
      <c r="K3" s="63" t="s">
        <v>159</v>
      </c>
      <c r="L3" s="63"/>
      <c r="M3" s="63" t="s">
        <v>160</v>
      </c>
      <c r="N3" s="63"/>
      <c r="O3" s="63" t="s">
        <v>161</v>
      </c>
      <c r="P3" s="101" t="s">
        <v>57</v>
      </c>
      <c r="Q3" s="101" t="s">
        <v>167</v>
      </c>
      <c r="R3" s="102"/>
    </row>
    <row r="4" spans="2:18" ht="22.5" customHeight="1" thickBot="1" x14ac:dyDescent="0.3">
      <c r="B4" s="67" t="s">
        <v>154</v>
      </c>
      <c r="C4" s="68" t="s">
        <v>162</v>
      </c>
      <c r="D4" s="68"/>
      <c r="E4" s="68" t="s">
        <v>163</v>
      </c>
      <c r="F4" s="68"/>
      <c r="G4" s="68" t="s">
        <v>162</v>
      </c>
      <c r="H4" s="68"/>
      <c r="I4" s="68" t="s">
        <v>165</v>
      </c>
      <c r="J4" s="68"/>
      <c r="K4" s="68" t="s">
        <v>162</v>
      </c>
      <c r="L4" s="68"/>
      <c r="M4" s="68" t="s">
        <v>166</v>
      </c>
      <c r="N4" s="68"/>
      <c r="O4" s="68" t="s">
        <v>162</v>
      </c>
      <c r="P4" s="103"/>
      <c r="Q4" s="103"/>
      <c r="R4" s="69"/>
    </row>
    <row r="5" spans="2:18" ht="22.5" customHeight="1" thickBot="1" x14ac:dyDescent="0.3">
      <c r="B5" s="67"/>
      <c r="C5" s="68"/>
      <c r="D5" s="68"/>
      <c r="E5" s="104">
        <v>120</v>
      </c>
      <c r="F5" s="68"/>
      <c r="G5" s="68"/>
      <c r="H5" s="68"/>
      <c r="I5" s="104">
        <v>180</v>
      </c>
      <c r="J5" s="68"/>
      <c r="K5" s="68"/>
      <c r="L5" s="68"/>
      <c r="M5" s="104">
        <v>240</v>
      </c>
      <c r="N5" s="68"/>
      <c r="O5" s="68"/>
      <c r="P5" s="103"/>
      <c r="Q5" s="105">
        <f>SUM(E5:O5)/60</f>
        <v>9</v>
      </c>
      <c r="R5" s="69"/>
    </row>
    <row r="6" spans="2:18" ht="22.5" customHeight="1" thickBot="1" x14ac:dyDescent="0.3">
      <c r="B6" s="67" t="s">
        <v>57</v>
      </c>
      <c r="C6" s="68"/>
      <c r="D6" s="68"/>
      <c r="E6" s="68" t="s">
        <v>164</v>
      </c>
      <c r="F6" s="68"/>
      <c r="G6" s="68"/>
      <c r="H6" s="68"/>
      <c r="I6" s="68" t="s">
        <v>164</v>
      </c>
      <c r="J6" s="68"/>
      <c r="K6" s="68"/>
      <c r="L6" s="68"/>
      <c r="M6" s="68" t="s">
        <v>164</v>
      </c>
      <c r="N6" s="68"/>
      <c r="O6" s="68"/>
      <c r="P6" s="103"/>
      <c r="Q6" s="103"/>
      <c r="R6" s="69"/>
    </row>
    <row r="7" spans="2:18" ht="22.5" customHeight="1" thickBot="1" x14ac:dyDescent="0.3">
      <c r="B7" s="67"/>
      <c r="C7" s="68"/>
      <c r="D7" s="68"/>
      <c r="E7" s="104">
        <v>2</v>
      </c>
      <c r="F7" s="68"/>
      <c r="G7" s="68"/>
      <c r="H7" s="68"/>
      <c r="I7" s="104">
        <v>2</v>
      </c>
      <c r="J7" s="68"/>
      <c r="K7" s="68"/>
      <c r="L7" s="68"/>
      <c r="M7" s="104">
        <v>2</v>
      </c>
      <c r="N7" s="68"/>
      <c r="O7" s="68"/>
      <c r="P7" s="103"/>
      <c r="Q7" s="103"/>
      <c r="R7" s="69"/>
    </row>
    <row r="8" spans="2:18" ht="22.5" customHeight="1" x14ac:dyDescent="0.25">
      <c r="B8" s="67"/>
      <c r="C8" s="68"/>
      <c r="D8" s="68"/>
      <c r="E8" s="68" t="s">
        <v>130</v>
      </c>
      <c r="F8" s="68"/>
      <c r="G8" s="68"/>
      <c r="H8" s="68"/>
      <c r="I8" s="68" t="s">
        <v>130</v>
      </c>
      <c r="J8" s="68"/>
      <c r="K8" s="68"/>
      <c r="L8" s="68"/>
      <c r="M8" s="68" t="s">
        <v>130</v>
      </c>
      <c r="N8" s="68"/>
      <c r="O8" s="68"/>
      <c r="P8" s="103"/>
      <c r="Q8" s="103"/>
      <c r="R8" s="69"/>
    </row>
    <row r="9" spans="2:18" ht="22.5" customHeight="1" thickBot="1" x14ac:dyDescent="0.3">
      <c r="B9" s="74"/>
      <c r="C9" s="75"/>
      <c r="D9" s="75"/>
      <c r="E9" s="111">
        <f>E5*E7</f>
        <v>240</v>
      </c>
      <c r="F9" s="75"/>
      <c r="G9" s="75"/>
      <c r="H9" s="75"/>
      <c r="I9" s="111">
        <f>I5*I7</f>
        <v>360</v>
      </c>
      <c r="J9" s="75"/>
      <c r="K9" s="75"/>
      <c r="L9" s="75"/>
      <c r="M9" s="111">
        <f>M5*M7</f>
        <v>480</v>
      </c>
      <c r="N9" s="75"/>
      <c r="O9" s="75"/>
      <c r="P9" s="106"/>
      <c r="Q9" s="111">
        <f>SUM(E9:P9)</f>
        <v>1080</v>
      </c>
      <c r="R9" s="76"/>
    </row>
    <row r="10" spans="2:18" ht="9" customHeight="1" thickBot="1" x14ac:dyDescent="0.3">
      <c r="B10" s="53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53"/>
      <c r="Q10" s="53"/>
      <c r="R10" s="53"/>
    </row>
    <row r="11" spans="2:18" ht="22.5" customHeight="1" x14ac:dyDescent="0.25">
      <c r="B11" s="100"/>
      <c r="C11" s="63" t="s">
        <v>155</v>
      </c>
      <c r="D11" s="63"/>
      <c r="E11" s="63" t="s">
        <v>156</v>
      </c>
      <c r="F11" s="63"/>
      <c r="G11" s="63" t="s">
        <v>157</v>
      </c>
      <c r="H11" s="63"/>
      <c r="I11" s="63" t="s">
        <v>158</v>
      </c>
      <c r="J11" s="63"/>
      <c r="K11" s="63" t="s">
        <v>159</v>
      </c>
      <c r="L11" s="63"/>
      <c r="M11" s="63" t="s">
        <v>160</v>
      </c>
      <c r="N11" s="63"/>
      <c r="O11" s="63" t="s">
        <v>161</v>
      </c>
      <c r="P11" s="101" t="s">
        <v>57</v>
      </c>
      <c r="Q11" s="101" t="s">
        <v>167</v>
      </c>
      <c r="R11" s="102"/>
    </row>
    <row r="12" spans="2:18" ht="22.5" customHeight="1" thickBot="1" x14ac:dyDescent="0.3">
      <c r="B12" s="67" t="s">
        <v>168</v>
      </c>
      <c r="C12" s="68" t="s">
        <v>162</v>
      </c>
      <c r="D12" s="68"/>
      <c r="E12" s="68" t="s">
        <v>163</v>
      </c>
      <c r="F12" s="68"/>
      <c r="G12" s="68" t="s">
        <v>162</v>
      </c>
      <c r="H12" s="68"/>
      <c r="I12" s="68" t="s">
        <v>169</v>
      </c>
      <c r="J12" s="68"/>
      <c r="K12" s="68" t="s">
        <v>162</v>
      </c>
      <c r="L12" s="68"/>
      <c r="M12" s="68" t="s">
        <v>171</v>
      </c>
      <c r="N12" s="68"/>
      <c r="O12" s="68" t="s">
        <v>162</v>
      </c>
      <c r="P12" s="103"/>
      <c r="Q12" s="103"/>
      <c r="R12" s="69"/>
    </row>
    <row r="13" spans="2:18" ht="22.5" customHeight="1" thickBot="1" x14ac:dyDescent="0.3">
      <c r="B13" s="67"/>
      <c r="C13" s="68"/>
      <c r="D13" s="68"/>
      <c r="E13" s="104">
        <v>120</v>
      </c>
      <c r="F13" s="68"/>
      <c r="G13" s="68"/>
      <c r="H13" s="68"/>
      <c r="I13" s="104">
        <v>210</v>
      </c>
      <c r="J13" s="68"/>
      <c r="K13" s="68"/>
      <c r="L13" s="68"/>
      <c r="M13" s="104">
        <v>270</v>
      </c>
      <c r="N13" s="68"/>
      <c r="O13" s="68"/>
      <c r="P13" s="103"/>
      <c r="Q13" s="105">
        <f>SUM(E13:O13)/60</f>
        <v>10</v>
      </c>
      <c r="R13" s="69"/>
    </row>
    <row r="14" spans="2:18" ht="22.5" customHeight="1" thickBot="1" x14ac:dyDescent="0.3">
      <c r="B14" s="67" t="s">
        <v>57</v>
      </c>
      <c r="C14" s="68"/>
      <c r="D14" s="68"/>
      <c r="E14" s="68" t="s">
        <v>164</v>
      </c>
      <c r="F14" s="68"/>
      <c r="G14" s="68"/>
      <c r="H14" s="68"/>
      <c r="I14" s="68" t="s">
        <v>164</v>
      </c>
      <c r="J14" s="68"/>
      <c r="K14" s="68"/>
      <c r="L14" s="68"/>
      <c r="M14" s="68" t="s">
        <v>164</v>
      </c>
      <c r="N14" s="68"/>
      <c r="O14" s="68"/>
      <c r="P14" s="103"/>
      <c r="Q14" s="107">
        <f>(Q13-Q5)/Q5</f>
        <v>0.1111111111111111</v>
      </c>
      <c r="R14" s="108" t="s">
        <v>170</v>
      </c>
    </row>
    <row r="15" spans="2:18" ht="22.5" customHeight="1" thickBot="1" x14ac:dyDescent="0.3">
      <c r="B15" s="67"/>
      <c r="C15" s="68"/>
      <c r="D15" s="68"/>
      <c r="E15" s="104">
        <v>2</v>
      </c>
      <c r="F15" s="68"/>
      <c r="G15" s="68"/>
      <c r="H15" s="68"/>
      <c r="I15" s="104">
        <v>2</v>
      </c>
      <c r="J15" s="68"/>
      <c r="K15" s="68"/>
      <c r="L15" s="68"/>
      <c r="M15" s="104">
        <v>2</v>
      </c>
      <c r="N15" s="68"/>
      <c r="O15" s="68"/>
      <c r="P15" s="103"/>
      <c r="Q15" s="103"/>
      <c r="R15" s="69"/>
    </row>
    <row r="16" spans="2:18" ht="22.5" customHeight="1" x14ac:dyDescent="0.25">
      <c r="B16" s="67"/>
      <c r="C16" s="68"/>
      <c r="D16" s="68"/>
      <c r="E16" s="68" t="s">
        <v>130</v>
      </c>
      <c r="F16" s="68"/>
      <c r="G16" s="68"/>
      <c r="H16" s="68"/>
      <c r="I16" s="68" t="s">
        <v>130</v>
      </c>
      <c r="J16" s="68"/>
      <c r="K16" s="68"/>
      <c r="L16" s="68"/>
      <c r="M16" s="68" t="s">
        <v>130</v>
      </c>
      <c r="N16" s="68"/>
      <c r="O16" s="68"/>
      <c r="P16" s="103"/>
      <c r="Q16" s="103"/>
      <c r="R16" s="69"/>
    </row>
    <row r="17" spans="2:22" ht="22.5" customHeight="1" x14ac:dyDescent="0.25">
      <c r="B17" s="67"/>
      <c r="C17" s="68"/>
      <c r="D17" s="68"/>
      <c r="E17" s="112">
        <f>E13*E15</f>
        <v>240</v>
      </c>
      <c r="F17" s="68"/>
      <c r="G17" s="68"/>
      <c r="H17" s="68"/>
      <c r="I17" s="112">
        <f>I13*I15</f>
        <v>420</v>
      </c>
      <c r="J17" s="68"/>
      <c r="K17" s="68"/>
      <c r="L17" s="68"/>
      <c r="M17" s="112">
        <f>M13*M15</f>
        <v>540</v>
      </c>
      <c r="N17" s="68"/>
      <c r="O17" s="68"/>
      <c r="P17" s="103"/>
      <c r="Q17" s="112">
        <f>SUM(E17:P17)</f>
        <v>1200</v>
      </c>
      <c r="R17" s="69"/>
    </row>
    <row r="18" spans="2:22" ht="22.5" customHeight="1" thickBot="1" x14ac:dyDescent="0.3"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106"/>
      <c r="Q18" s="109">
        <f>(Q17-Q9)/Q9</f>
        <v>0.1111111111111111</v>
      </c>
      <c r="R18" s="110" t="s">
        <v>170</v>
      </c>
    </row>
    <row r="19" spans="2:22" ht="10.5" customHeight="1" thickBot="1" x14ac:dyDescent="0.3">
      <c r="B19" s="53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53"/>
      <c r="Q19" s="53"/>
      <c r="R19" s="53"/>
    </row>
    <row r="20" spans="2:22" ht="22.5" customHeight="1" x14ac:dyDescent="0.25">
      <c r="B20" s="100"/>
      <c r="C20" s="63" t="s">
        <v>155</v>
      </c>
      <c r="D20" s="63"/>
      <c r="E20" s="63" t="s">
        <v>156</v>
      </c>
      <c r="F20" s="63"/>
      <c r="G20" s="63" t="s">
        <v>157</v>
      </c>
      <c r="H20" s="63"/>
      <c r="I20" s="63" t="s">
        <v>158</v>
      </c>
      <c r="J20" s="63"/>
      <c r="K20" s="63" t="s">
        <v>159</v>
      </c>
      <c r="L20" s="63"/>
      <c r="M20" s="63" t="s">
        <v>160</v>
      </c>
      <c r="N20" s="63"/>
      <c r="O20" s="63" t="s">
        <v>161</v>
      </c>
      <c r="P20" s="101" t="s">
        <v>57</v>
      </c>
      <c r="Q20" s="101" t="s">
        <v>167</v>
      </c>
      <c r="R20" s="102"/>
    </row>
    <row r="21" spans="2:22" ht="22.5" customHeight="1" thickBot="1" x14ac:dyDescent="0.3">
      <c r="B21" s="67" t="s">
        <v>182</v>
      </c>
      <c r="C21" s="68" t="s">
        <v>162</v>
      </c>
      <c r="D21" s="68"/>
      <c r="E21" s="68" t="s">
        <v>162</v>
      </c>
      <c r="F21" s="68"/>
      <c r="G21" s="68" t="s">
        <v>162</v>
      </c>
      <c r="H21" s="68"/>
      <c r="I21" s="68" t="s">
        <v>163</v>
      </c>
      <c r="J21" s="68"/>
      <c r="K21" s="68" t="s">
        <v>162</v>
      </c>
      <c r="L21" s="68"/>
      <c r="M21" s="68" t="s">
        <v>166</v>
      </c>
      <c r="N21" s="68"/>
      <c r="O21" s="68" t="s">
        <v>162</v>
      </c>
      <c r="P21" s="103"/>
      <c r="Q21" s="103"/>
      <c r="R21" s="69"/>
    </row>
    <row r="22" spans="2:22" ht="22.5" customHeight="1" thickBot="1" x14ac:dyDescent="0.3">
      <c r="B22" s="67"/>
      <c r="C22" s="68"/>
      <c r="D22" s="68"/>
      <c r="E22" s="104">
        <v>0</v>
      </c>
      <c r="F22" s="68"/>
      <c r="G22" s="68"/>
      <c r="H22" s="68"/>
      <c r="I22" s="104">
        <v>120</v>
      </c>
      <c r="J22" s="68"/>
      <c r="K22" s="68"/>
      <c r="L22" s="68"/>
      <c r="M22" s="104">
        <v>240</v>
      </c>
      <c r="N22" s="68"/>
      <c r="O22" s="68"/>
      <c r="P22" s="103"/>
      <c r="Q22" s="105">
        <f>SUM(E22:O22)/60</f>
        <v>6</v>
      </c>
      <c r="R22" s="69"/>
    </row>
    <row r="23" spans="2:22" ht="22.5" customHeight="1" thickBot="1" x14ac:dyDescent="0.3">
      <c r="B23" s="67" t="s">
        <v>57</v>
      </c>
      <c r="C23" s="68"/>
      <c r="D23" s="68"/>
      <c r="E23" s="68" t="s">
        <v>172</v>
      </c>
      <c r="F23" s="68"/>
      <c r="G23" s="68"/>
      <c r="H23" s="68"/>
      <c r="I23" s="68" t="s">
        <v>164</v>
      </c>
      <c r="J23" s="68"/>
      <c r="K23" s="68"/>
      <c r="L23" s="68"/>
      <c r="M23" s="68" t="s">
        <v>164</v>
      </c>
      <c r="N23" s="68"/>
      <c r="O23" s="68"/>
      <c r="P23" s="103"/>
      <c r="Q23" s="107">
        <f>(Q22-Q13)/Q13</f>
        <v>-0.4</v>
      </c>
      <c r="R23" s="108" t="s">
        <v>173</v>
      </c>
    </row>
    <row r="24" spans="2:22" ht="22.5" customHeight="1" thickBot="1" x14ac:dyDescent="0.3">
      <c r="B24" s="67"/>
      <c r="C24" s="68"/>
      <c r="D24" s="68"/>
      <c r="E24" s="104">
        <v>0</v>
      </c>
      <c r="F24" s="68"/>
      <c r="G24" s="68"/>
      <c r="H24" s="68"/>
      <c r="I24" s="104">
        <v>2</v>
      </c>
      <c r="J24" s="68"/>
      <c r="K24" s="68"/>
      <c r="L24" s="68"/>
      <c r="M24" s="104">
        <v>2</v>
      </c>
      <c r="N24" s="68"/>
      <c r="O24" s="68"/>
      <c r="P24" s="103"/>
      <c r="Q24" s="103"/>
      <c r="R24" s="69"/>
    </row>
    <row r="25" spans="2:22" ht="22.5" customHeight="1" x14ac:dyDescent="0.25">
      <c r="B25" s="67"/>
      <c r="C25" s="68"/>
      <c r="D25" s="68"/>
      <c r="E25" s="68" t="s">
        <v>130</v>
      </c>
      <c r="F25" s="68"/>
      <c r="G25" s="68"/>
      <c r="H25" s="68"/>
      <c r="I25" s="68" t="s">
        <v>130</v>
      </c>
      <c r="J25" s="68"/>
      <c r="K25" s="68"/>
      <c r="L25" s="68"/>
      <c r="M25" s="68" t="s">
        <v>130</v>
      </c>
      <c r="N25" s="68"/>
      <c r="O25" s="68"/>
      <c r="P25" s="103"/>
      <c r="Q25" s="103"/>
      <c r="R25" s="69"/>
    </row>
    <row r="26" spans="2:22" ht="22.5" customHeight="1" x14ac:dyDescent="0.25">
      <c r="B26" s="67"/>
      <c r="C26" s="68"/>
      <c r="D26" s="68"/>
      <c r="E26" s="112">
        <f>E22*E24</f>
        <v>0</v>
      </c>
      <c r="F26" s="68"/>
      <c r="G26" s="68"/>
      <c r="H26" s="68"/>
      <c r="I26" s="112">
        <f>I22*I24</f>
        <v>240</v>
      </c>
      <c r="J26" s="68"/>
      <c r="K26" s="68"/>
      <c r="L26" s="68"/>
      <c r="M26" s="112">
        <f>M22*M24</f>
        <v>480</v>
      </c>
      <c r="N26" s="68"/>
      <c r="O26" s="68"/>
      <c r="P26" s="103"/>
      <c r="Q26" s="112">
        <f>SUM(E26:P26)</f>
        <v>720</v>
      </c>
      <c r="R26" s="69"/>
    </row>
    <row r="27" spans="2:22" ht="22.5" customHeight="1" thickBot="1" x14ac:dyDescent="0.3">
      <c r="B27" s="74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106"/>
      <c r="Q27" s="109">
        <f>(Q26-Q17)/Q17</f>
        <v>-0.4</v>
      </c>
      <c r="R27" s="110" t="s">
        <v>173</v>
      </c>
    </row>
    <row r="29" spans="2:22" ht="22.5" customHeight="1" thickBot="1" x14ac:dyDescent="0.3">
      <c r="B29" s="1" t="s">
        <v>174</v>
      </c>
    </row>
    <row r="30" spans="2:22" ht="22.5" customHeight="1" thickBot="1" x14ac:dyDescent="0.3">
      <c r="B30" s="100"/>
      <c r="C30" s="63" t="s">
        <v>155</v>
      </c>
      <c r="D30" s="63"/>
      <c r="E30" s="63" t="s">
        <v>156</v>
      </c>
      <c r="F30" s="63"/>
      <c r="G30" s="63" t="s">
        <v>157</v>
      </c>
      <c r="H30" s="63"/>
      <c r="I30" s="63" t="s">
        <v>158</v>
      </c>
      <c r="J30" s="63"/>
      <c r="K30" s="63" t="s">
        <v>159</v>
      </c>
      <c r="L30" s="63"/>
      <c r="M30" s="63" t="s">
        <v>160</v>
      </c>
      <c r="N30" s="63"/>
      <c r="O30" s="63" t="s">
        <v>161</v>
      </c>
      <c r="P30" s="101" t="s">
        <v>57</v>
      </c>
      <c r="Q30" s="101" t="s">
        <v>167</v>
      </c>
      <c r="R30" s="102"/>
      <c r="S30" s="53"/>
      <c r="T30" s="53"/>
      <c r="U30" s="53"/>
      <c r="V30" s="53"/>
    </row>
    <row r="31" spans="2:22" ht="22.5" customHeight="1" thickBot="1" x14ac:dyDescent="0.3">
      <c r="B31" s="67" t="s">
        <v>154</v>
      </c>
      <c r="C31" s="68" t="s">
        <v>162</v>
      </c>
      <c r="D31" s="68"/>
      <c r="E31" s="68" t="s">
        <v>163</v>
      </c>
      <c r="F31" s="115" t="s">
        <v>175</v>
      </c>
      <c r="G31" s="68" t="s">
        <v>162</v>
      </c>
      <c r="H31" s="68"/>
      <c r="I31" s="68" t="s">
        <v>165</v>
      </c>
      <c r="J31" s="115" t="s">
        <v>175</v>
      </c>
      <c r="K31" s="68" t="s">
        <v>162</v>
      </c>
      <c r="L31" s="68"/>
      <c r="M31" s="68" t="s">
        <v>166</v>
      </c>
      <c r="N31" s="115" t="s">
        <v>175</v>
      </c>
      <c r="O31" s="68" t="s">
        <v>162</v>
      </c>
      <c r="P31" s="103"/>
      <c r="Q31" s="103"/>
      <c r="R31" s="69"/>
      <c r="S31" s="53"/>
      <c r="T31" s="100"/>
      <c r="U31" s="63" t="s">
        <v>130</v>
      </c>
      <c r="V31" s="64" t="s">
        <v>185</v>
      </c>
    </row>
    <row r="32" spans="2:22" ht="22.5" customHeight="1" thickBot="1" x14ac:dyDescent="0.3">
      <c r="B32" s="67" t="s">
        <v>190</v>
      </c>
      <c r="C32" s="68"/>
      <c r="D32" s="68"/>
      <c r="E32" s="104">
        <v>120</v>
      </c>
      <c r="F32" s="115" t="s">
        <v>177</v>
      </c>
      <c r="G32" s="68"/>
      <c r="H32" s="68"/>
      <c r="I32" s="104">
        <v>180</v>
      </c>
      <c r="J32" s="115">
        <v>0</v>
      </c>
      <c r="K32" s="68"/>
      <c r="L32" s="68"/>
      <c r="M32" s="104">
        <v>240</v>
      </c>
      <c r="N32" s="115" t="s">
        <v>179</v>
      </c>
      <c r="O32" s="68"/>
      <c r="P32" s="103"/>
      <c r="Q32" s="105">
        <f>SUM(E32:O32)/60</f>
        <v>9</v>
      </c>
      <c r="R32" s="69"/>
      <c r="S32" s="53"/>
      <c r="T32" s="116" t="s">
        <v>183</v>
      </c>
      <c r="U32" s="68">
        <f>SUM(F36,J36,N36)</f>
        <v>155</v>
      </c>
      <c r="V32" s="117">
        <f>6*5+10*0.5</f>
        <v>35</v>
      </c>
    </row>
    <row r="33" spans="2:22" ht="22.5" customHeight="1" thickBot="1" x14ac:dyDescent="0.3">
      <c r="B33" s="67" t="s">
        <v>57</v>
      </c>
      <c r="C33" s="68"/>
      <c r="D33" s="68"/>
      <c r="E33" s="68" t="s">
        <v>164</v>
      </c>
      <c r="F33" s="68" t="s">
        <v>176</v>
      </c>
      <c r="G33" s="68"/>
      <c r="H33" s="68"/>
      <c r="I33" s="68" t="s">
        <v>164</v>
      </c>
      <c r="J33" s="68">
        <v>0</v>
      </c>
      <c r="K33" s="68"/>
      <c r="L33" s="68"/>
      <c r="M33" s="68" t="s">
        <v>164</v>
      </c>
      <c r="N33" s="68" t="s">
        <v>180</v>
      </c>
      <c r="O33" s="68"/>
      <c r="P33" s="103"/>
      <c r="Q33" s="103"/>
      <c r="R33" s="69"/>
      <c r="S33" s="53"/>
      <c r="T33" s="116" t="s">
        <v>167</v>
      </c>
      <c r="U33" s="68">
        <f>Q36</f>
        <v>1235</v>
      </c>
      <c r="V33" s="117">
        <f>Q32*60</f>
        <v>540</v>
      </c>
    </row>
    <row r="34" spans="2:22" ht="22.5" customHeight="1" thickBot="1" x14ac:dyDescent="0.3">
      <c r="B34" s="67"/>
      <c r="C34" s="68"/>
      <c r="D34" s="68"/>
      <c r="E34" s="104">
        <v>2</v>
      </c>
      <c r="F34" s="68">
        <v>4</v>
      </c>
      <c r="G34" s="68"/>
      <c r="H34" s="68"/>
      <c r="I34" s="104">
        <v>2</v>
      </c>
      <c r="J34" s="68">
        <v>0</v>
      </c>
      <c r="K34" s="68"/>
      <c r="L34" s="68"/>
      <c r="M34" s="104">
        <v>2</v>
      </c>
      <c r="N34" s="68">
        <v>7</v>
      </c>
      <c r="O34" s="68"/>
      <c r="P34" s="103"/>
      <c r="Q34" s="103"/>
      <c r="R34" s="69"/>
      <c r="S34" s="53"/>
      <c r="T34" s="118" t="s">
        <v>184</v>
      </c>
      <c r="U34" s="109">
        <f>U32/U33</f>
        <v>0.12550607287449392</v>
      </c>
      <c r="V34" s="119">
        <f>V32/V33</f>
        <v>6.4814814814814811E-2</v>
      </c>
    </row>
    <row r="35" spans="2:22" ht="22.5" customHeight="1" x14ac:dyDescent="0.25">
      <c r="B35" s="67"/>
      <c r="C35" s="68"/>
      <c r="D35" s="68"/>
      <c r="E35" s="68" t="s">
        <v>130</v>
      </c>
      <c r="F35" s="68"/>
      <c r="G35" s="68"/>
      <c r="H35" s="68"/>
      <c r="I35" s="68" t="s">
        <v>130</v>
      </c>
      <c r="J35" s="68"/>
      <c r="K35" s="68"/>
      <c r="L35" s="68"/>
      <c r="M35" s="68" t="s">
        <v>130</v>
      </c>
      <c r="N35" s="68"/>
      <c r="O35" s="68"/>
      <c r="P35" s="103"/>
      <c r="Q35" s="103"/>
      <c r="R35" s="69"/>
      <c r="S35" s="53"/>
      <c r="T35" s="53"/>
      <c r="U35" s="53"/>
      <c r="V35" s="53"/>
    </row>
    <row r="36" spans="2:22" ht="22.5" customHeight="1" thickBot="1" x14ac:dyDescent="0.3">
      <c r="B36" s="74"/>
      <c r="C36" s="75"/>
      <c r="D36" s="75"/>
      <c r="E36" s="120">
        <f>E32*E34</f>
        <v>240</v>
      </c>
      <c r="F36" s="120">
        <f>6*5*F34</f>
        <v>120</v>
      </c>
      <c r="G36" s="75"/>
      <c r="H36" s="75"/>
      <c r="I36" s="120">
        <f>I32*I34</f>
        <v>360</v>
      </c>
      <c r="J36" s="120">
        <f>8*5*J34</f>
        <v>0</v>
      </c>
      <c r="K36" s="75"/>
      <c r="L36" s="75"/>
      <c r="M36" s="120">
        <f>M32*M34</f>
        <v>480</v>
      </c>
      <c r="N36" s="120">
        <f>10*0.5*N34</f>
        <v>35</v>
      </c>
      <c r="O36" s="75"/>
      <c r="P36" s="106"/>
      <c r="Q36" s="120">
        <f>SUM(E36:P36)</f>
        <v>1235</v>
      </c>
      <c r="R36" s="76"/>
      <c r="S36" s="53"/>
      <c r="T36" s="53"/>
      <c r="U36" s="53"/>
      <c r="V36" s="53"/>
    </row>
    <row r="37" spans="2:22" ht="22.5" customHeight="1" thickBot="1" x14ac:dyDescent="0.3"/>
    <row r="38" spans="2:22" ht="22.5" customHeight="1" thickBot="1" x14ac:dyDescent="0.3">
      <c r="B38" s="100"/>
      <c r="C38" s="63" t="s">
        <v>155</v>
      </c>
      <c r="D38" s="63"/>
      <c r="E38" s="63" t="s">
        <v>156</v>
      </c>
      <c r="F38" s="63"/>
      <c r="G38" s="63" t="s">
        <v>157</v>
      </c>
      <c r="H38" s="63"/>
      <c r="I38" s="63" t="s">
        <v>158</v>
      </c>
      <c r="J38" s="63"/>
      <c r="K38" s="63" t="s">
        <v>159</v>
      </c>
      <c r="L38" s="63"/>
      <c r="M38" s="63" t="s">
        <v>160</v>
      </c>
      <c r="N38" s="63"/>
      <c r="O38" s="63" t="s">
        <v>161</v>
      </c>
      <c r="P38" s="101" t="s">
        <v>57</v>
      </c>
      <c r="Q38" s="101" t="s">
        <v>167</v>
      </c>
      <c r="R38" s="102"/>
      <c r="S38" s="53"/>
      <c r="T38" s="53"/>
      <c r="U38" s="53"/>
      <c r="V38" s="53"/>
    </row>
    <row r="39" spans="2:22" ht="22.5" customHeight="1" thickBot="1" x14ac:dyDescent="0.3">
      <c r="B39" s="67" t="s">
        <v>168</v>
      </c>
      <c r="C39" s="68" t="s">
        <v>162</v>
      </c>
      <c r="D39" s="68"/>
      <c r="E39" s="68" t="s">
        <v>181</v>
      </c>
      <c r="F39" s="115" t="s">
        <v>175</v>
      </c>
      <c r="G39" s="68" t="s">
        <v>162</v>
      </c>
      <c r="H39" s="68"/>
      <c r="I39" s="68" t="s">
        <v>165</v>
      </c>
      <c r="J39" s="115" t="s">
        <v>175</v>
      </c>
      <c r="K39" s="68" t="s">
        <v>162</v>
      </c>
      <c r="L39" s="68"/>
      <c r="M39" s="68" t="s">
        <v>171</v>
      </c>
      <c r="N39" s="115" t="s">
        <v>175</v>
      </c>
      <c r="O39" s="68" t="s">
        <v>162</v>
      </c>
      <c r="P39" s="103"/>
      <c r="Q39" s="103"/>
      <c r="R39" s="69"/>
      <c r="S39" s="53"/>
      <c r="T39" s="100"/>
      <c r="U39" s="63" t="s">
        <v>130</v>
      </c>
      <c r="V39" s="64" t="s">
        <v>185</v>
      </c>
    </row>
    <row r="40" spans="2:22" ht="22.5" customHeight="1" thickBot="1" x14ac:dyDescent="0.3">
      <c r="B40" s="67" t="s">
        <v>190</v>
      </c>
      <c r="C40" s="68"/>
      <c r="D40" s="68"/>
      <c r="E40" s="104">
        <v>150</v>
      </c>
      <c r="F40" s="121" t="s">
        <v>178</v>
      </c>
      <c r="G40" s="68"/>
      <c r="H40" s="68"/>
      <c r="I40" s="104">
        <v>180</v>
      </c>
      <c r="J40" s="121">
        <v>0</v>
      </c>
      <c r="K40" s="68"/>
      <c r="L40" s="68"/>
      <c r="M40" s="104">
        <v>270</v>
      </c>
      <c r="N40" s="115" t="s">
        <v>179</v>
      </c>
      <c r="O40" s="68"/>
      <c r="P40" s="103"/>
      <c r="Q40" s="105">
        <f>SUM(E40:O40)/60</f>
        <v>10</v>
      </c>
      <c r="R40" s="69"/>
      <c r="S40" s="53"/>
      <c r="T40" s="116" t="s">
        <v>183</v>
      </c>
      <c r="U40" s="68">
        <f>SUM(F44,J44,N44)</f>
        <v>195</v>
      </c>
      <c r="V40" s="117">
        <f>6*5+10*0.5</f>
        <v>35</v>
      </c>
    </row>
    <row r="41" spans="2:22" ht="22.5" customHeight="1" thickBot="1" x14ac:dyDescent="0.3">
      <c r="B41" s="67" t="s">
        <v>57</v>
      </c>
      <c r="C41" s="68"/>
      <c r="D41" s="68"/>
      <c r="E41" s="68" t="s">
        <v>164</v>
      </c>
      <c r="F41" s="68" t="s">
        <v>176</v>
      </c>
      <c r="G41" s="68"/>
      <c r="H41" s="68"/>
      <c r="I41" s="68" t="s">
        <v>164</v>
      </c>
      <c r="J41" s="68">
        <v>0</v>
      </c>
      <c r="K41" s="68"/>
      <c r="L41" s="68"/>
      <c r="M41" s="68" t="s">
        <v>164</v>
      </c>
      <c r="N41" s="68" t="s">
        <v>180</v>
      </c>
      <c r="O41" s="68"/>
      <c r="P41" s="103"/>
      <c r="Q41" s="107">
        <f>(Q40-Q32)/Q32</f>
        <v>0.1111111111111111</v>
      </c>
      <c r="R41" s="108" t="s">
        <v>170</v>
      </c>
      <c r="S41" s="53"/>
      <c r="T41" s="116" t="s">
        <v>167</v>
      </c>
      <c r="U41" s="68">
        <f>Q44</f>
        <v>1395</v>
      </c>
      <c r="V41" s="117">
        <f>Q40*60</f>
        <v>600</v>
      </c>
    </row>
    <row r="42" spans="2:22" ht="22.5" customHeight="1" thickBot="1" x14ac:dyDescent="0.3">
      <c r="B42" s="67"/>
      <c r="C42" s="68"/>
      <c r="D42" s="68"/>
      <c r="E42" s="104">
        <v>2</v>
      </c>
      <c r="F42" s="104">
        <v>4</v>
      </c>
      <c r="G42" s="68"/>
      <c r="H42" s="68"/>
      <c r="I42" s="104">
        <v>2</v>
      </c>
      <c r="J42" s="104">
        <v>0</v>
      </c>
      <c r="K42" s="68"/>
      <c r="L42" s="68"/>
      <c r="M42" s="104">
        <v>2</v>
      </c>
      <c r="N42" s="68">
        <v>7</v>
      </c>
      <c r="O42" s="68"/>
      <c r="P42" s="103"/>
      <c r="Q42" s="103"/>
      <c r="R42" s="69"/>
      <c r="S42" s="53"/>
      <c r="T42" s="118" t="s">
        <v>184</v>
      </c>
      <c r="U42" s="109">
        <f>U40/U41</f>
        <v>0.13978494623655913</v>
      </c>
      <c r="V42" s="119">
        <f>V40/V41</f>
        <v>5.8333333333333334E-2</v>
      </c>
    </row>
    <row r="43" spans="2:22" ht="22.5" customHeight="1" x14ac:dyDescent="0.25">
      <c r="B43" s="67"/>
      <c r="C43" s="68"/>
      <c r="D43" s="68"/>
      <c r="E43" s="68" t="s">
        <v>130</v>
      </c>
      <c r="F43" s="68"/>
      <c r="G43" s="68"/>
      <c r="H43" s="68"/>
      <c r="I43" s="68" t="s">
        <v>130</v>
      </c>
      <c r="J43" s="68"/>
      <c r="K43" s="68"/>
      <c r="L43" s="68"/>
      <c r="M43" s="68" t="s">
        <v>130</v>
      </c>
      <c r="N43" s="68"/>
      <c r="O43" s="68"/>
      <c r="P43" s="103"/>
      <c r="Q43" s="103"/>
      <c r="R43" s="69"/>
      <c r="S43" s="53"/>
      <c r="T43" s="53"/>
      <c r="U43" s="53"/>
      <c r="V43" s="53"/>
    </row>
    <row r="44" spans="2:22" ht="22.5" customHeight="1" x14ac:dyDescent="0.25">
      <c r="B44" s="67"/>
      <c r="C44" s="68"/>
      <c r="D44" s="68"/>
      <c r="E44" s="122">
        <f>E40*E42</f>
        <v>300</v>
      </c>
      <c r="F44" s="122">
        <f>8*5*F42</f>
        <v>160</v>
      </c>
      <c r="G44" s="68"/>
      <c r="H44" s="68"/>
      <c r="I44" s="122">
        <f>I40*I42</f>
        <v>360</v>
      </c>
      <c r="J44" s="122">
        <f>6*5*J42</f>
        <v>0</v>
      </c>
      <c r="K44" s="68"/>
      <c r="L44" s="68"/>
      <c r="M44" s="122">
        <f>M40*M42</f>
        <v>540</v>
      </c>
      <c r="N44" s="122">
        <f>10*0.5*N42</f>
        <v>35</v>
      </c>
      <c r="O44" s="68"/>
      <c r="P44" s="103"/>
      <c r="Q44" s="122">
        <f>SUM(E44:P44)</f>
        <v>1395</v>
      </c>
      <c r="R44" s="69"/>
      <c r="S44" s="53"/>
      <c r="T44" s="53"/>
      <c r="U44" s="53"/>
      <c r="V44" s="53"/>
    </row>
    <row r="45" spans="2:22" ht="22.5" customHeight="1" thickBot="1" x14ac:dyDescent="0.3"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106"/>
      <c r="Q45" s="109">
        <f>(Q44-Q36)/Q36</f>
        <v>0.12955465587044535</v>
      </c>
      <c r="R45" s="110" t="s">
        <v>170</v>
      </c>
      <c r="S45" s="53"/>
      <c r="T45" s="53"/>
      <c r="U45" s="53"/>
      <c r="V45" s="53"/>
    </row>
    <row r="46" spans="2:22" ht="22.5" customHeight="1" thickBot="1" x14ac:dyDescent="0.3"/>
    <row r="47" spans="2:22" ht="22.5" customHeight="1" x14ac:dyDescent="0.25">
      <c r="B47" s="100"/>
      <c r="C47" s="63" t="s">
        <v>155</v>
      </c>
      <c r="D47" s="63"/>
      <c r="E47" s="63" t="s">
        <v>156</v>
      </c>
      <c r="F47" s="63"/>
      <c r="G47" s="63" t="s">
        <v>157</v>
      </c>
      <c r="H47" s="63"/>
      <c r="I47" s="63" t="s">
        <v>158</v>
      </c>
      <c r="J47" s="63"/>
      <c r="K47" s="63" t="s">
        <v>159</v>
      </c>
      <c r="L47" s="63"/>
      <c r="M47" s="63" t="s">
        <v>160</v>
      </c>
      <c r="N47" s="63"/>
      <c r="O47" s="63" t="s">
        <v>161</v>
      </c>
      <c r="P47" s="101" t="s">
        <v>57</v>
      </c>
      <c r="Q47" s="101" t="s">
        <v>167</v>
      </c>
      <c r="R47" s="102"/>
    </row>
    <row r="48" spans="2:22" ht="22.5" customHeight="1" thickBot="1" x14ac:dyDescent="0.3">
      <c r="B48" s="67" t="s">
        <v>182</v>
      </c>
      <c r="C48" s="68" t="s">
        <v>162</v>
      </c>
      <c r="D48" s="68"/>
      <c r="E48" s="68" t="s">
        <v>162</v>
      </c>
      <c r="F48" s="68"/>
      <c r="G48" s="68" t="s">
        <v>162</v>
      </c>
      <c r="H48" s="68"/>
      <c r="I48" s="68" t="s">
        <v>163</v>
      </c>
      <c r="J48" s="68"/>
      <c r="K48" s="68" t="s">
        <v>162</v>
      </c>
      <c r="L48" s="68"/>
      <c r="M48" s="68" t="s">
        <v>166</v>
      </c>
      <c r="N48" s="68"/>
      <c r="O48" s="68" t="s">
        <v>162</v>
      </c>
      <c r="P48" s="103"/>
      <c r="Q48" s="103"/>
      <c r="R48" s="69"/>
    </row>
    <row r="49" spans="2:18" ht="22.5" customHeight="1" thickBot="1" x14ac:dyDescent="0.3">
      <c r="B49" s="67"/>
      <c r="C49" s="68"/>
      <c r="D49" s="68"/>
      <c r="E49" s="104">
        <v>0</v>
      </c>
      <c r="F49" s="68"/>
      <c r="G49" s="68"/>
      <c r="H49" s="68"/>
      <c r="I49" s="104">
        <v>120</v>
      </c>
      <c r="J49" s="68"/>
      <c r="K49" s="68"/>
      <c r="L49" s="68"/>
      <c r="M49" s="104">
        <v>240</v>
      </c>
      <c r="N49" s="68"/>
      <c r="O49" s="68"/>
      <c r="P49" s="103"/>
      <c r="Q49" s="105">
        <f>SUM(E49:O49)/60</f>
        <v>6</v>
      </c>
      <c r="R49" s="69"/>
    </row>
    <row r="50" spans="2:18" ht="22.5" customHeight="1" thickBot="1" x14ac:dyDescent="0.3">
      <c r="B50" s="67" t="s">
        <v>57</v>
      </c>
      <c r="C50" s="68"/>
      <c r="D50" s="68"/>
      <c r="E50" s="68" t="s">
        <v>172</v>
      </c>
      <c r="F50" s="68"/>
      <c r="G50" s="68"/>
      <c r="H50" s="68"/>
      <c r="I50" s="68" t="s">
        <v>164</v>
      </c>
      <c r="J50" s="68"/>
      <c r="K50" s="68"/>
      <c r="L50" s="68"/>
      <c r="M50" s="68" t="s">
        <v>164</v>
      </c>
      <c r="N50" s="68"/>
      <c r="O50" s="68"/>
      <c r="P50" s="103"/>
      <c r="Q50" s="107">
        <f>(Q49-Q40)/Q40</f>
        <v>-0.4</v>
      </c>
      <c r="R50" s="108" t="s">
        <v>173</v>
      </c>
    </row>
    <row r="51" spans="2:18" ht="22.5" customHeight="1" thickBot="1" x14ac:dyDescent="0.3">
      <c r="B51" s="67"/>
      <c r="C51" s="68"/>
      <c r="D51" s="68"/>
      <c r="E51" s="104">
        <v>0</v>
      </c>
      <c r="F51" s="68"/>
      <c r="G51" s="68"/>
      <c r="H51" s="68"/>
      <c r="I51" s="104">
        <v>2</v>
      </c>
      <c r="J51" s="68"/>
      <c r="K51" s="68"/>
      <c r="L51" s="68"/>
      <c r="M51" s="104">
        <v>2</v>
      </c>
      <c r="N51" s="68"/>
      <c r="O51" s="68"/>
      <c r="P51" s="103"/>
      <c r="Q51" s="103"/>
      <c r="R51" s="69"/>
    </row>
    <row r="52" spans="2:18" ht="22.5" customHeight="1" x14ac:dyDescent="0.25">
      <c r="B52" s="67"/>
      <c r="C52" s="68"/>
      <c r="D52" s="68"/>
      <c r="E52" s="68" t="s">
        <v>130</v>
      </c>
      <c r="F52" s="68"/>
      <c r="G52" s="68"/>
      <c r="H52" s="68"/>
      <c r="I52" s="68" t="s">
        <v>130</v>
      </c>
      <c r="J52" s="68"/>
      <c r="K52" s="68"/>
      <c r="L52" s="68"/>
      <c r="M52" s="68" t="s">
        <v>130</v>
      </c>
      <c r="N52" s="68"/>
      <c r="O52" s="68"/>
      <c r="P52" s="103"/>
      <c r="Q52" s="103"/>
      <c r="R52" s="69"/>
    </row>
    <row r="53" spans="2:18" ht="22.5" customHeight="1" x14ac:dyDescent="0.25">
      <c r="B53" s="67"/>
      <c r="C53" s="68"/>
      <c r="D53" s="68"/>
      <c r="E53" s="122">
        <f>E49*E51</f>
        <v>0</v>
      </c>
      <c r="F53" s="68"/>
      <c r="G53" s="68"/>
      <c r="H53" s="68"/>
      <c r="I53" s="122">
        <f>I49*I51</f>
        <v>240</v>
      </c>
      <c r="J53" s="68"/>
      <c r="K53" s="68"/>
      <c r="L53" s="68"/>
      <c r="M53" s="122">
        <f>M49*M51</f>
        <v>480</v>
      </c>
      <c r="N53" s="68"/>
      <c r="O53" s="68"/>
      <c r="P53" s="103"/>
      <c r="Q53" s="122">
        <f>SUM(E53:P53)</f>
        <v>720</v>
      </c>
      <c r="R53" s="69"/>
    </row>
    <row r="54" spans="2:18" ht="22.5" customHeight="1" thickBot="1" x14ac:dyDescent="0.3">
      <c r="B54" s="74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106"/>
      <c r="Q54" s="109">
        <f>(Q53-Q44)/Q44</f>
        <v>-0.4838709677419355</v>
      </c>
      <c r="R54" s="110" t="s">
        <v>173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1D50-99FD-41BE-A81B-C60D98DA8BE1}">
  <dimension ref="A1:Y112"/>
  <sheetViews>
    <sheetView tabSelected="1" workbookViewId="0"/>
  </sheetViews>
  <sheetFormatPr defaultRowHeight="15" x14ac:dyDescent="0.25"/>
  <cols>
    <col min="5" max="6" width="9.140625" style="124"/>
    <col min="10" max="10" width="11.7109375" customWidth="1"/>
    <col min="12" max="17" width="10" customWidth="1"/>
    <col min="22" max="22" width="11.85546875" customWidth="1"/>
  </cols>
  <sheetData>
    <row r="1" spans="1:11" ht="45" x14ac:dyDescent="0.25">
      <c r="H1" s="142" t="s">
        <v>277</v>
      </c>
      <c r="I1" s="2">
        <f>220-(0.5*I3)-(0.05*140)+4</f>
        <v>204.5</v>
      </c>
      <c r="J1" s="142" t="s">
        <v>317</v>
      </c>
    </row>
    <row r="2" spans="1:11" ht="45" x14ac:dyDescent="0.25">
      <c r="B2" s="141" t="s">
        <v>275</v>
      </c>
      <c r="C2" s="142" t="s">
        <v>276</v>
      </c>
      <c r="D2" s="142"/>
      <c r="H2" s="142" t="s">
        <v>274</v>
      </c>
      <c r="I2" s="2">
        <v>183</v>
      </c>
    </row>
    <row r="3" spans="1:11" x14ac:dyDescent="0.25">
      <c r="B3" t="s">
        <v>252</v>
      </c>
      <c r="D3" s="127" t="s">
        <v>253</v>
      </c>
      <c r="E3" s="124" t="s">
        <v>249</v>
      </c>
      <c r="F3" s="124" t="s">
        <v>250</v>
      </c>
      <c r="H3" t="s">
        <v>278</v>
      </c>
      <c r="I3" s="124">
        <v>25</v>
      </c>
    </row>
    <row r="4" spans="1:11" x14ac:dyDescent="0.25">
      <c r="A4">
        <v>127</v>
      </c>
      <c r="B4" s="125">
        <f>A4/$I$1</f>
        <v>0.62102689486552565</v>
      </c>
      <c r="C4" s="143">
        <f>A4/$I$2</f>
        <v>0.69398907103825136</v>
      </c>
      <c r="E4" s="144">
        <v>70</v>
      </c>
      <c r="F4" s="124">
        <f>100-E4</f>
        <v>30</v>
      </c>
      <c r="I4" t="s">
        <v>57</v>
      </c>
    </row>
    <row r="5" spans="1:11" x14ac:dyDescent="0.25">
      <c r="A5">
        <v>133</v>
      </c>
      <c r="B5" s="125">
        <f t="shared" ref="B5:B13" si="0">A5/$I$1</f>
        <v>0.65036674816625917</v>
      </c>
      <c r="C5" s="143">
        <f t="shared" ref="C5:C13" si="1">A5/$I$2</f>
        <v>0.72677595628415304</v>
      </c>
      <c r="E5" s="144">
        <v>67</v>
      </c>
      <c r="F5" s="124">
        <f t="shared" ref="F5:F13" si="2">100-E5</f>
        <v>33</v>
      </c>
    </row>
    <row r="6" spans="1:11" x14ac:dyDescent="0.25">
      <c r="A6">
        <v>135</v>
      </c>
      <c r="B6" s="125">
        <f t="shared" si="0"/>
        <v>0.66014669926650371</v>
      </c>
      <c r="C6" s="143">
        <f t="shared" si="1"/>
        <v>0.73770491803278693</v>
      </c>
      <c r="E6" s="144">
        <v>60</v>
      </c>
      <c r="F6" s="124">
        <f t="shared" si="2"/>
        <v>40</v>
      </c>
    </row>
    <row r="7" spans="1:11" x14ac:dyDescent="0.25">
      <c r="A7">
        <v>137</v>
      </c>
      <c r="B7" s="125">
        <f t="shared" si="0"/>
        <v>0.66992665036674814</v>
      </c>
      <c r="C7" s="125">
        <f t="shared" si="1"/>
        <v>0.74863387978142082</v>
      </c>
      <c r="E7" s="124">
        <v>56</v>
      </c>
      <c r="F7" s="124">
        <f t="shared" si="2"/>
        <v>44</v>
      </c>
    </row>
    <row r="8" spans="1:11" x14ac:dyDescent="0.25">
      <c r="A8">
        <v>141</v>
      </c>
      <c r="B8" s="125">
        <f t="shared" si="0"/>
        <v>0.68948655256723712</v>
      </c>
      <c r="C8" s="125">
        <f t="shared" si="1"/>
        <v>0.77049180327868849</v>
      </c>
      <c r="E8" s="124">
        <v>53</v>
      </c>
      <c r="F8" s="124">
        <f t="shared" si="2"/>
        <v>47</v>
      </c>
    </row>
    <row r="9" spans="1:11" x14ac:dyDescent="0.25">
      <c r="A9">
        <v>146</v>
      </c>
      <c r="B9" s="125">
        <f t="shared" si="0"/>
        <v>0.71393643031784837</v>
      </c>
      <c r="C9" s="125">
        <f t="shared" si="1"/>
        <v>0.79781420765027322</v>
      </c>
      <c r="E9" s="124">
        <v>60</v>
      </c>
      <c r="F9" s="124">
        <f t="shared" si="2"/>
        <v>40</v>
      </c>
    </row>
    <row r="10" spans="1:11" x14ac:dyDescent="0.25">
      <c r="A10">
        <v>153</v>
      </c>
      <c r="B10" s="125">
        <f t="shared" si="0"/>
        <v>0.74816625916870416</v>
      </c>
      <c r="C10" s="125">
        <f t="shared" si="1"/>
        <v>0.83606557377049184</v>
      </c>
      <c r="E10" s="124">
        <v>50</v>
      </c>
      <c r="F10" s="124">
        <f t="shared" si="2"/>
        <v>50</v>
      </c>
    </row>
    <row r="11" spans="1:11" x14ac:dyDescent="0.25">
      <c r="A11">
        <v>155</v>
      </c>
      <c r="B11" s="126">
        <f t="shared" si="0"/>
        <v>0.75794621026894871</v>
      </c>
      <c r="C11" s="125">
        <f t="shared" si="1"/>
        <v>0.84699453551912574</v>
      </c>
      <c r="D11">
        <f>180-$I$3</f>
        <v>155</v>
      </c>
      <c r="E11" s="124">
        <v>42</v>
      </c>
      <c r="F11" s="124">
        <f t="shared" si="2"/>
        <v>58</v>
      </c>
    </row>
    <row r="12" spans="1:11" x14ac:dyDescent="0.25">
      <c r="A12">
        <v>164</v>
      </c>
      <c r="B12" s="125">
        <f t="shared" si="0"/>
        <v>0.80195599022004893</v>
      </c>
      <c r="C12" s="125">
        <f t="shared" si="1"/>
        <v>0.89617486338797814</v>
      </c>
      <c r="E12" s="124">
        <v>42</v>
      </c>
      <c r="F12" s="124">
        <f t="shared" si="2"/>
        <v>58</v>
      </c>
    </row>
    <row r="13" spans="1:11" x14ac:dyDescent="0.25">
      <c r="A13">
        <v>169</v>
      </c>
      <c r="B13" s="125">
        <f t="shared" si="0"/>
        <v>0.82640586797066018</v>
      </c>
      <c r="C13" s="125">
        <f t="shared" si="1"/>
        <v>0.92349726775956287</v>
      </c>
      <c r="E13" s="124">
        <v>32</v>
      </c>
      <c r="F13" s="124">
        <f t="shared" si="2"/>
        <v>68</v>
      </c>
    </row>
    <row r="15" spans="1:11" x14ac:dyDescent="0.25">
      <c r="K15" t="s">
        <v>254</v>
      </c>
    </row>
    <row r="27" spans="1:18" ht="15.75" thickBot="1" x14ac:dyDescent="0.3">
      <c r="A27" t="s">
        <v>255</v>
      </c>
    </row>
    <row r="28" spans="1:18" x14ac:dyDescent="0.25">
      <c r="A28" t="s">
        <v>256</v>
      </c>
      <c r="B28" s="129" t="s">
        <v>258</v>
      </c>
      <c r="C28" s="130"/>
      <c r="D28" s="130"/>
      <c r="E28" s="131" t="s">
        <v>262</v>
      </c>
      <c r="F28" s="151" t="s">
        <v>259</v>
      </c>
      <c r="G28" s="152"/>
      <c r="H28" s="153" t="s">
        <v>262</v>
      </c>
      <c r="J28" s="124" t="s">
        <v>316</v>
      </c>
    </row>
    <row r="29" spans="1:18" ht="15.75" x14ac:dyDescent="0.25">
      <c r="A29" t="s">
        <v>257</v>
      </c>
      <c r="B29" s="132">
        <v>122</v>
      </c>
      <c r="C29" s="133">
        <v>157</v>
      </c>
      <c r="D29" s="133"/>
      <c r="E29" s="138">
        <f>AVERAGE(B29:C29)</f>
        <v>139.5</v>
      </c>
      <c r="F29" s="154">
        <v>105</v>
      </c>
      <c r="G29" s="155">
        <v>134</v>
      </c>
      <c r="H29" s="156">
        <f>AVERAGE(F29:G29)</f>
        <v>119.5</v>
      </c>
      <c r="J29" t="s">
        <v>265</v>
      </c>
    </row>
    <row r="30" spans="1:18" ht="15.75" x14ac:dyDescent="0.25">
      <c r="A30" t="s">
        <v>252</v>
      </c>
      <c r="B30" s="132">
        <v>67</v>
      </c>
      <c r="C30" s="133">
        <v>87</v>
      </c>
      <c r="D30" s="133"/>
      <c r="E30" s="138">
        <f t="shared" ref="E30:E32" si="3">AVERAGE(B30:C30)</f>
        <v>77</v>
      </c>
      <c r="F30" s="154">
        <v>58</v>
      </c>
      <c r="G30" s="155">
        <v>74</v>
      </c>
      <c r="H30" s="156">
        <f t="shared" ref="H30:H32" si="4">AVERAGE(F30:G30)</f>
        <v>66</v>
      </c>
      <c r="J30" t="s">
        <v>266</v>
      </c>
    </row>
    <row r="31" spans="1:18" ht="15.75" x14ac:dyDescent="0.25">
      <c r="A31" t="s">
        <v>260</v>
      </c>
      <c r="B31" s="132">
        <v>3.84</v>
      </c>
      <c r="C31" s="133">
        <v>2.21</v>
      </c>
      <c r="D31" s="133"/>
      <c r="E31" s="138">
        <f t="shared" si="3"/>
        <v>3.0249999999999999</v>
      </c>
      <c r="F31" s="154">
        <v>3.7</v>
      </c>
      <c r="G31" s="155">
        <v>4.28</v>
      </c>
      <c r="H31" s="156">
        <f t="shared" si="4"/>
        <v>3.99</v>
      </c>
      <c r="J31" s="193" t="s">
        <v>271</v>
      </c>
      <c r="K31" s="176"/>
      <c r="L31" s="176"/>
      <c r="M31" s="176"/>
      <c r="N31" s="176"/>
      <c r="O31" s="176"/>
      <c r="P31" s="176"/>
      <c r="Q31" s="176"/>
      <c r="R31" s="176"/>
    </row>
    <row r="32" spans="1:18" ht="15.75" x14ac:dyDescent="0.25">
      <c r="A32" t="s">
        <v>261</v>
      </c>
      <c r="B32" s="132">
        <v>10.8</v>
      </c>
      <c r="C32" s="133">
        <v>16.600000000000001</v>
      </c>
      <c r="D32" s="133"/>
      <c r="E32" s="138">
        <f t="shared" si="3"/>
        <v>13.700000000000001</v>
      </c>
      <c r="F32" s="154">
        <v>7.6</v>
      </c>
      <c r="G32" s="155">
        <v>12.5</v>
      </c>
      <c r="H32" s="156">
        <f t="shared" si="4"/>
        <v>10.050000000000001</v>
      </c>
      <c r="J32" s="193" t="s">
        <v>270</v>
      </c>
      <c r="K32" s="176"/>
      <c r="L32" s="176"/>
      <c r="M32" s="176"/>
      <c r="N32" s="176"/>
      <c r="O32" s="176"/>
      <c r="P32" s="176"/>
      <c r="Q32" s="176"/>
      <c r="R32" s="176"/>
    </row>
    <row r="33" spans="1:21" ht="16.5" thickBot="1" x14ac:dyDescent="0.3">
      <c r="A33" t="s">
        <v>263</v>
      </c>
      <c r="B33" s="134">
        <f>B31/B32</f>
        <v>0.35555555555555551</v>
      </c>
      <c r="C33" s="135">
        <f t="shared" ref="C33:E33" si="5">C31/C32</f>
        <v>0.1331325301204819</v>
      </c>
      <c r="D33" s="135"/>
      <c r="E33" s="139">
        <f t="shared" si="5"/>
        <v>0.22080291970802918</v>
      </c>
      <c r="F33" s="157">
        <f>F31/F32</f>
        <v>0.48684210526315796</v>
      </c>
      <c r="G33" s="158">
        <f t="shared" ref="G33" si="6">G31/G32</f>
        <v>0.34240000000000004</v>
      </c>
      <c r="H33" s="159">
        <f t="shared" ref="H33" si="7">H31/H32</f>
        <v>0.39701492537313432</v>
      </c>
      <c r="J33" s="193" t="s">
        <v>272</v>
      </c>
      <c r="K33" s="176"/>
      <c r="L33" s="176"/>
      <c r="M33" s="176"/>
      <c r="N33" s="176"/>
      <c r="O33" s="176"/>
      <c r="P33" s="176"/>
      <c r="Q33" s="176"/>
      <c r="R33" s="176"/>
    </row>
    <row r="34" spans="1:21" ht="15.75" thickBot="1" x14ac:dyDescent="0.3">
      <c r="J34" s="193" t="s">
        <v>273</v>
      </c>
      <c r="K34" s="176"/>
      <c r="L34" s="176"/>
      <c r="M34" s="176"/>
      <c r="N34" s="176"/>
      <c r="O34" s="176"/>
      <c r="P34" s="176"/>
      <c r="Q34" s="176"/>
      <c r="R34" s="176"/>
    </row>
    <row r="35" spans="1:21" x14ac:dyDescent="0.25">
      <c r="A35" t="s">
        <v>264</v>
      </c>
      <c r="B35" s="129" t="s">
        <v>258</v>
      </c>
      <c r="C35" s="130"/>
      <c r="D35" s="130"/>
      <c r="E35" s="131" t="s">
        <v>262</v>
      </c>
      <c r="F35" s="160" t="s">
        <v>259</v>
      </c>
      <c r="G35" s="161"/>
      <c r="H35" s="162" t="s">
        <v>262</v>
      </c>
    </row>
    <row r="36" spans="1:21" ht="15.75" x14ac:dyDescent="0.25">
      <c r="A36" t="s">
        <v>257</v>
      </c>
      <c r="B36" s="136">
        <v>120</v>
      </c>
      <c r="C36" s="137">
        <v>155</v>
      </c>
      <c r="D36" s="137"/>
      <c r="E36" s="138">
        <f>AVERAGE(B36:C36)</f>
        <v>137.5</v>
      </c>
      <c r="F36" s="154">
        <v>107</v>
      </c>
      <c r="G36" s="155">
        <v>139</v>
      </c>
      <c r="H36" s="156">
        <f>AVERAGE(F36:G36)</f>
        <v>123</v>
      </c>
    </row>
    <row r="37" spans="1:21" ht="15.75" x14ac:dyDescent="0.25">
      <c r="A37" t="s">
        <v>252</v>
      </c>
      <c r="B37" s="136">
        <v>68</v>
      </c>
      <c r="C37" s="137">
        <v>88</v>
      </c>
      <c r="D37" s="137"/>
      <c r="E37" s="138">
        <f t="shared" ref="E37:E39" si="8">AVERAGE(B37:C37)</f>
        <v>78</v>
      </c>
      <c r="F37" s="154">
        <v>60</v>
      </c>
      <c r="G37" s="155">
        <v>79</v>
      </c>
      <c r="H37" s="156">
        <f t="shared" ref="H37:H39" si="9">AVERAGE(F37:G37)</f>
        <v>69.5</v>
      </c>
      <c r="J37" s="206" t="s">
        <v>279</v>
      </c>
      <c r="K37" s="176"/>
      <c r="L37" s="176"/>
      <c r="M37" s="176"/>
      <c r="N37" s="176"/>
      <c r="O37" s="176"/>
      <c r="P37" s="176"/>
      <c r="Q37" s="176"/>
    </row>
    <row r="38" spans="1:21" ht="16.5" thickBot="1" x14ac:dyDescent="0.3">
      <c r="A38" t="s">
        <v>260</v>
      </c>
      <c r="B38" s="136">
        <v>2.2000000000000002</v>
      </c>
      <c r="C38" s="137">
        <v>1.02</v>
      </c>
      <c r="D38" s="137"/>
      <c r="E38" s="138">
        <f t="shared" si="8"/>
        <v>1.61</v>
      </c>
      <c r="F38" s="154">
        <v>2.38</v>
      </c>
      <c r="G38" s="155">
        <v>2.4</v>
      </c>
      <c r="H38" s="156">
        <f t="shared" si="9"/>
        <v>2.3899999999999997</v>
      </c>
      <c r="J38" s="176" t="s">
        <v>284</v>
      </c>
      <c r="K38" s="176"/>
      <c r="L38" s="176"/>
      <c r="M38" s="176"/>
      <c r="N38" s="176"/>
      <c r="O38" s="176"/>
      <c r="P38" s="176"/>
      <c r="Q38" s="176"/>
    </row>
    <row r="39" spans="1:21" ht="23.25" x14ac:dyDescent="0.35">
      <c r="A39" t="s">
        <v>261</v>
      </c>
      <c r="B39" s="136">
        <v>7.03</v>
      </c>
      <c r="C39" s="137">
        <v>11.1</v>
      </c>
      <c r="D39" s="137"/>
      <c r="E39" s="138">
        <f t="shared" si="8"/>
        <v>9.0649999999999995</v>
      </c>
      <c r="F39" s="154">
        <v>5.55</v>
      </c>
      <c r="G39" s="155">
        <v>9.5399999999999991</v>
      </c>
      <c r="H39" s="156">
        <f t="shared" si="9"/>
        <v>7.5449999999999999</v>
      </c>
      <c r="J39" s="194" t="s">
        <v>320</v>
      </c>
      <c r="K39" s="177" t="s">
        <v>262</v>
      </c>
      <c r="L39" s="177" t="s">
        <v>281</v>
      </c>
      <c r="M39" s="178" t="s">
        <v>282</v>
      </c>
      <c r="N39" s="195" t="s">
        <v>321</v>
      </c>
      <c r="O39" s="152" t="s">
        <v>262</v>
      </c>
      <c r="P39" s="152" t="s">
        <v>281</v>
      </c>
      <c r="Q39" s="153" t="s">
        <v>282</v>
      </c>
    </row>
    <row r="40" spans="1:21" ht="19.5" thickBot="1" x14ac:dyDescent="0.35">
      <c r="A40" t="s">
        <v>263</v>
      </c>
      <c r="B40" s="134">
        <f>B38/B39</f>
        <v>0.31294452347083929</v>
      </c>
      <c r="C40" s="135">
        <f t="shared" ref="C40" si="10">C38/C39</f>
        <v>9.1891891891891897E-2</v>
      </c>
      <c r="D40" s="135"/>
      <c r="E40" s="139">
        <f t="shared" ref="E40" si="11">E38/E39</f>
        <v>0.17760617760617764</v>
      </c>
      <c r="F40" s="157">
        <f>F38/F39</f>
        <v>0.42882882882882883</v>
      </c>
      <c r="G40" s="158">
        <f t="shared" ref="G40:H40" si="12">G38/G39</f>
        <v>0.25157232704402516</v>
      </c>
      <c r="H40" s="159">
        <f t="shared" si="12"/>
        <v>0.31676607024519543</v>
      </c>
      <c r="J40" s="179" t="s">
        <v>280</v>
      </c>
      <c r="K40" s="180">
        <f>E44</f>
        <v>77.5</v>
      </c>
      <c r="L40" s="181">
        <f>B44</f>
        <v>68</v>
      </c>
      <c r="M40" s="182">
        <f>C44</f>
        <v>87</v>
      </c>
      <c r="N40" s="166"/>
      <c r="O40" s="196">
        <f>H44</f>
        <v>67</v>
      </c>
      <c r="P40" s="167">
        <f>F44</f>
        <v>58</v>
      </c>
      <c r="Q40" s="168">
        <f>G44</f>
        <v>76</v>
      </c>
    </row>
    <row r="41" spans="1:21" ht="19.5" thickBot="1" x14ac:dyDescent="0.35">
      <c r="J41" s="179" t="s">
        <v>260</v>
      </c>
      <c r="K41" s="183">
        <f>E45</f>
        <v>2.395</v>
      </c>
      <c r="L41" s="184">
        <f>B45</f>
        <v>3.11</v>
      </c>
      <c r="M41" s="185">
        <f>C45</f>
        <v>1.68</v>
      </c>
      <c r="N41" s="197"/>
      <c r="O41" s="198">
        <f>H45</f>
        <v>3.2800000000000002</v>
      </c>
      <c r="P41" s="167">
        <f>F45</f>
        <v>3.11</v>
      </c>
      <c r="Q41" s="168">
        <f>G45</f>
        <v>3.45</v>
      </c>
    </row>
    <row r="42" spans="1:21" ht="18.75" x14ac:dyDescent="0.3">
      <c r="A42" t="s">
        <v>269</v>
      </c>
      <c r="B42" s="129" t="s">
        <v>258</v>
      </c>
      <c r="C42" s="130"/>
      <c r="D42" s="130"/>
      <c r="E42" s="131" t="s">
        <v>262</v>
      </c>
      <c r="F42" s="160" t="s">
        <v>259</v>
      </c>
      <c r="G42" s="161"/>
      <c r="H42" s="162" t="s">
        <v>262</v>
      </c>
      <c r="J42" s="72" t="s">
        <v>283</v>
      </c>
      <c r="K42" s="186">
        <f>E47</f>
        <v>0.20513918629550321</v>
      </c>
      <c r="L42" s="187">
        <f>B47</f>
        <v>0.33989071038251362</v>
      </c>
      <c r="M42" s="188">
        <f>C47</f>
        <v>0.11830985915492957</v>
      </c>
      <c r="N42" s="197"/>
      <c r="O42" s="199">
        <f>H47</f>
        <v>0.35964912280701755</v>
      </c>
      <c r="P42" s="200">
        <f>F47</f>
        <v>0.46142433234421359</v>
      </c>
      <c r="Q42" s="201">
        <f>G47</f>
        <v>0.3</v>
      </c>
    </row>
    <row r="43" spans="1:21" ht="19.5" thickBot="1" x14ac:dyDescent="0.35">
      <c r="A43" t="s">
        <v>257</v>
      </c>
      <c r="B43" s="136">
        <v>121</v>
      </c>
      <c r="C43" s="137">
        <v>156</v>
      </c>
      <c r="D43" s="137"/>
      <c r="E43" s="138">
        <f>AVERAGE(B43:C43)</f>
        <v>138.5</v>
      </c>
      <c r="F43" s="154">
        <v>105</v>
      </c>
      <c r="G43" s="155">
        <v>136</v>
      </c>
      <c r="H43" s="156">
        <f>AVERAGE(F43:G43)</f>
        <v>120.5</v>
      </c>
      <c r="J43" s="189" t="s">
        <v>261</v>
      </c>
      <c r="K43" s="190">
        <f>E46</f>
        <v>11.675000000000001</v>
      </c>
      <c r="L43" s="191">
        <f>B46</f>
        <v>9.15</v>
      </c>
      <c r="M43" s="192">
        <f>C46</f>
        <v>14.2</v>
      </c>
      <c r="N43" s="202"/>
      <c r="O43" s="203">
        <f>H46</f>
        <v>9.120000000000001</v>
      </c>
      <c r="P43" s="204">
        <f>F46</f>
        <v>6.74</v>
      </c>
      <c r="Q43" s="205">
        <f>G46</f>
        <v>11.5</v>
      </c>
    </row>
    <row r="44" spans="1:21" ht="15.75" x14ac:dyDescent="0.25">
      <c r="A44" t="s">
        <v>252</v>
      </c>
      <c r="B44" s="136">
        <v>68</v>
      </c>
      <c r="C44" s="137">
        <v>87</v>
      </c>
      <c r="D44" s="137"/>
      <c r="E44" s="138">
        <f t="shared" ref="E44:E46" si="13">AVERAGE(B44:C44)</f>
        <v>77.5</v>
      </c>
      <c r="F44" s="154">
        <v>58</v>
      </c>
      <c r="G44" s="155">
        <v>76</v>
      </c>
      <c r="H44" s="156">
        <f t="shared" ref="H44:H46" si="14">AVERAGE(F44:G44)</f>
        <v>67</v>
      </c>
    </row>
    <row r="45" spans="1:21" ht="15.75" x14ac:dyDescent="0.25">
      <c r="A45" t="s">
        <v>260</v>
      </c>
      <c r="B45" s="136">
        <v>3.11</v>
      </c>
      <c r="C45" s="137">
        <v>1.68</v>
      </c>
      <c r="D45" s="137"/>
      <c r="E45" s="140">
        <f t="shared" si="13"/>
        <v>2.395</v>
      </c>
      <c r="F45" s="154">
        <v>3.11</v>
      </c>
      <c r="G45" s="155">
        <v>3.45</v>
      </c>
      <c r="H45" s="163">
        <f t="shared" si="14"/>
        <v>3.2800000000000002</v>
      </c>
    </row>
    <row r="46" spans="1:21" ht="15.75" x14ac:dyDescent="0.25">
      <c r="A46" t="s">
        <v>261</v>
      </c>
      <c r="B46" s="136">
        <v>9.15</v>
      </c>
      <c r="C46" s="137">
        <v>14.2</v>
      </c>
      <c r="D46" s="137"/>
      <c r="E46" s="140">
        <f t="shared" si="13"/>
        <v>11.675000000000001</v>
      </c>
      <c r="F46" s="154">
        <v>6.74</v>
      </c>
      <c r="G46" s="155">
        <v>11.5</v>
      </c>
      <c r="H46" s="163">
        <f t="shared" si="14"/>
        <v>9.120000000000001</v>
      </c>
    </row>
    <row r="47" spans="1:21" ht="16.5" thickBot="1" x14ac:dyDescent="0.3">
      <c r="A47" t="s">
        <v>263</v>
      </c>
      <c r="B47" s="134">
        <f>B45/B46</f>
        <v>0.33989071038251362</v>
      </c>
      <c r="C47" s="135">
        <f t="shared" ref="C47" si="15">C45/C46</f>
        <v>0.11830985915492957</v>
      </c>
      <c r="D47" s="135"/>
      <c r="E47" s="139">
        <f t="shared" ref="E47" si="16">E45/E46</f>
        <v>0.20513918629550321</v>
      </c>
      <c r="F47" s="157">
        <f>F45/F46</f>
        <v>0.46142433234421359</v>
      </c>
      <c r="G47" s="158">
        <f t="shared" ref="G47" si="17">G45/G46</f>
        <v>0.3</v>
      </c>
      <c r="H47" s="159">
        <f t="shared" ref="H47" si="18">H45/H46</f>
        <v>0.35964912280701755</v>
      </c>
      <c r="K47" s="176"/>
      <c r="L47" s="209" t="s">
        <v>289</v>
      </c>
      <c r="M47" s="176"/>
      <c r="N47" s="176"/>
      <c r="O47" s="176"/>
      <c r="P47" s="176"/>
      <c r="Q47" s="176"/>
      <c r="T47" t="s">
        <v>323</v>
      </c>
    </row>
    <row r="48" spans="1:21" ht="18.75" x14ac:dyDescent="0.3">
      <c r="K48" s="210"/>
      <c r="L48" s="211" t="s">
        <v>320</v>
      </c>
      <c r="M48" s="212"/>
      <c r="N48" s="213"/>
      <c r="O48" s="207" t="s">
        <v>321</v>
      </c>
      <c r="P48" s="164"/>
      <c r="Q48" s="165"/>
      <c r="T48" s="220">
        <f>100/15</f>
        <v>6.666666666666667</v>
      </c>
      <c r="U48" t="s">
        <v>324</v>
      </c>
    </row>
    <row r="49" spans="1:25" x14ac:dyDescent="0.25">
      <c r="J49" s="208" t="s">
        <v>290</v>
      </c>
      <c r="K49" s="214" t="s">
        <v>322</v>
      </c>
      <c r="L49" s="215" t="s">
        <v>262</v>
      </c>
      <c r="M49" s="181" t="s">
        <v>281</v>
      </c>
      <c r="N49" s="182" t="s">
        <v>282</v>
      </c>
      <c r="O49" s="166" t="s">
        <v>262</v>
      </c>
      <c r="P49" s="167" t="s">
        <v>281</v>
      </c>
      <c r="Q49" s="168" t="s">
        <v>282</v>
      </c>
      <c r="T49" s="128">
        <f>180*0.78</f>
        <v>140.4</v>
      </c>
      <c r="U49" t="s">
        <v>325</v>
      </c>
    </row>
    <row r="50" spans="1:25" x14ac:dyDescent="0.25">
      <c r="J50" s="124" t="s">
        <v>292</v>
      </c>
      <c r="K50" s="214">
        <v>3</v>
      </c>
      <c r="L50" s="216">
        <f t="shared" ref="L50:L51" si="19">$K$43*60*K50</f>
        <v>2101.5</v>
      </c>
      <c r="M50" s="68">
        <f t="shared" ref="M50:M51" si="20">$L$43*60*K50</f>
        <v>1647</v>
      </c>
      <c r="N50" s="182">
        <f t="shared" ref="N50:N51" si="21">$M$43*60*K50</f>
        <v>2556</v>
      </c>
      <c r="O50" s="169">
        <f t="shared" ref="O50:O51" si="22">$O$43*60*K50</f>
        <v>1641.6000000000001</v>
      </c>
      <c r="P50" s="170">
        <f t="shared" ref="P50:P51" si="23">$P$43*60*K50</f>
        <v>1213.2</v>
      </c>
      <c r="Q50" s="171">
        <f t="shared" ref="Q50:Q51" si="24">$Q$43*60*K50</f>
        <v>2070</v>
      </c>
      <c r="T50" s="124">
        <v>135</v>
      </c>
      <c r="U50" t="s">
        <v>326</v>
      </c>
    </row>
    <row r="51" spans="1:25" x14ac:dyDescent="0.25">
      <c r="J51" s="124" t="s">
        <v>293</v>
      </c>
      <c r="K51" s="214">
        <v>4</v>
      </c>
      <c r="L51" s="216">
        <f t="shared" si="19"/>
        <v>2802</v>
      </c>
      <c r="M51" s="68">
        <f t="shared" si="20"/>
        <v>2196</v>
      </c>
      <c r="N51" s="182">
        <f t="shared" si="21"/>
        <v>3408</v>
      </c>
      <c r="O51" s="169">
        <f t="shared" si="22"/>
        <v>2188.8000000000002</v>
      </c>
      <c r="P51" s="170">
        <f t="shared" si="23"/>
        <v>1617.6000000000001</v>
      </c>
      <c r="Q51" s="171">
        <f t="shared" si="24"/>
        <v>2760</v>
      </c>
      <c r="T51" s="128">
        <f>180*0.67</f>
        <v>120.60000000000001</v>
      </c>
      <c r="U51" t="s">
        <v>259</v>
      </c>
    </row>
    <row r="52" spans="1:25" x14ac:dyDescent="0.25">
      <c r="E52" s="124" t="s">
        <v>268</v>
      </c>
      <c r="F52" s="124" t="s">
        <v>267</v>
      </c>
      <c r="J52" s="124" t="s">
        <v>285</v>
      </c>
      <c r="K52" s="214">
        <v>5</v>
      </c>
      <c r="L52" s="216">
        <f>$K$43*60*K52</f>
        <v>3502.5</v>
      </c>
      <c r="M52" s="68">
        <f>$L$43*60*K52</f>
        <v>2745</v>
      </c>
      <c r="N52" s="182">
        <f>$M$43*60*K52</f>
        <v>4260</v>
      </c>
      <c r="O52" s="169">
        <f>$O$43*60*K52</f>
        <v>2736</v>
      </c>
      <c r="P52" s="170">
        <f>$P$43*60*K52</f>
        <v>2022.0000000000002</v>
      </c>
      <c r="Q52" s="171">
        <f>$Q$43*60*K52</f>
        <v>3450</v>
      </c>
    </row>
    <row r="53" spans="1:25" x14ac:dyDescent="0.25">
      <c r="A53" t="s">
        <v>256</v>
      </c>
      <c r="B53">
        <v>37</v>
      </c>
      <c r="C53" s="145">
        <f>83.1*2.2</f>
        <v>182.82</v>
      </c>
      <c r="E53" s="124">
        <v>181</v>
      </c>
      <c r="F53" s="128">
        <f>210-B53*0.5-C53*0.05+4</f>
        <v>186.35900000000001</v>
      </c>
      <c r="J53" s="124" t="s">
        <v>286</v>
      </c>
      <c r="K53" s="214">
        <v>6</v>
      </c>
      <c r="L53" s="216">
        <f t="shared" ref="L53:L55" si="25">$K$43*60*K53</f>
        <v>4203</v>
      </c>
      <c r="M53" s="68">
        <f t="shared" ref="M53:M55" si="26">$L$43*60*K53</f>
        <v>3294</v>
      </c>
      <c r="N53" s="182">
        <f t="shared" ref="N53:N55" si="27">$M$43*60*K53</f>
        <v>5112</v>
      </c>
      <c r="O53" s="169">
        <f t="shared" ref="O53:O55" si="28">$O$43*60*K53</f>
        <v>3283.2000000000003</v>
      </c>
      <c r="P53" s="170">
        <f t="shared" ref="P53:P55" si="29">$P$43*60*K53</f>
        <v>2426.4</v>
      </c>
      <c r="Q53" s="171">
        <f t="shared" ref="Q53:Q55" si="30">$Q$43*60*K53</f>
        <v>4140</v>
      </c>
    </row>
    <row r="54" spans="1:25" x14ac:dyDescent="0.25">
      <c r="A54" t="s">
        <v>264</v>
      </c>
      <c r="B54">
        <v>36</v>
      </c>
      <c r="C54">
        <f>60*2.2</f>
        <v>132</v>
      </c>
      <c r="E54" s="124">
        <v>175</v>
      </c>
      <c r="F54" s="128">
        <f>210-B54*0.5-C54*0.05</f>
        <v>185.4</v>
      </c>
      <c r="J54" s="124" t="s">
        <v>287</v>
      </c>
      <c r="K54" s="214">
        <v>7</v>
      </c>
      <c r="L54" s="216">
        <f t="shared" si="25"/>
        <v>4903.5</v>
      </c>
      <c r="M54" s="68">
        <f t="shared" si="26"/>
        <v>3843</v>
      </c>
      <c r="N54" s="182">
        <f t="shared" si="27"/>
        <v>5964</v>
      </c>
      <c r="O54" s="169">
        <f t="shared" si="28"/>
        <v>3830.4000000000005</v>
      </c>
      <c r="P54" s="170">
        <f t="shared" si="29"/>
        <v>2830.8</v>
      </c>
      <c r="Q54" s="171">
        <f t="shared" si="30"/>
        <v>4830</v>
      </c>
    </row>
    <row r="55" spans="1:25" ht="15.75" thickBot="1" x14ac:dyDescent="0.3">
      <c r="J55" s="124" t="s">
        <v>288</v>
      </c>
      <c r="K55" s="217">
        <v>8</v>
      </c>
      <c r="L55" s="218">
        <f t="shared" si="25"/>
        <v>5604</v>
      </c>
      <c r="M55" s="75">
        <f t="shared" si="26"/>
        <v>4392</v>
      </c>
      <c r="N55" s="219">
        <f t="shared" si="27"/>
        <v>6816</v>
      </c>
      <c r="O55" s="172">
        <f t="shared" si="28"/>
        <v>4377.6000000000004</v>
      </c>
      <c r="P55" s="173">
        <f t="shared" si="29"/>
        <v>3235.2000000000003</v>
      </c>
      <c r="Q55" s="174">
        <f t="shared" si="30"/>
        <v>5520</v>
      </c>
    </row>
    <row r="56" spans="1:25" x14ac:dyDescent="0.25">
      <c r="J56" s="147" t="s">
        <v>291</v>
      </c>
    </row>
    <row r="57" spans="1:25" x14ac:dyDescent="0.25">
      <c r="G57" t="s">
        <v>314</v>
      </c>
      <c r="H57" t="s">
        <v>315</v>
      </c>
    </row>
    <row r="58" spans="1:25" ht="15.75" thickBot="1" x14ac:dyDescent="0.3">
      <c r="A58" t="s">
        <v>313</v>
      </c>
      <c r="F58" s="124" t="s">
        <v>262</v>
      </c>
      <c r="G58" s="175">
        <f>D59*O40/100</f>
        <v>123.28</v>
      </c>
      <c r="H58" s="175">
        <f>D59*0.74</f>
        <v>136.16</v>
      </c>
      <c r="J58" s="147" t="s">
        <v>303</v>
      </c>
      <c r="T58" s="147" t="s">
        <v>304</v>
      </c>
    </row>
    <row r="59" spans="1:25" ht="15.75" thickBot="1" x14ac:dyDescent="0.3">
      <c r="A59">
        <v>210</v>
      </c>
      <c r="B59">
        <v>45</v>
      </c>
      <c r="C59">
        <v>150</v>
      </c>
      <c r="D59" s="230">
        <f>A59-B59*0.5-C59*0.05 + 4</f>
        <v>184</v>
      </c>
      <c r="F59" s="124" t="s">
        <v>281</v>
      </c>
      <c r="G59" s="149">
        <f>D59*P40/100</f>
        <v>106.72</v>
      </c>
      <c r="H59" s="148"/>
      <c r="J59" s="176" t="s">
        <v>327</v>
      </c>
      <c r="K59" s="176"/>
      <c r="L59" s="176"/>
      <c r="M59" s="176"/>
      <c r="N59" s="176"/>
      <c r="T59" s="148" t="s">
        <v>321</v>
      </c>
      <c r="U59" s="148"/>
      <c r="V59" s="148"/>
      <c r="W59" s="148"/>
      <c r="X59" s="148"/>
    </row>
    <row r="60" spans="1:25" x14ac:dyDescent="0.25">
      <c r="F60" s="124" t="s">
        <v>282</v>
      </c>
      <c r="G60" s="149">
        <f>D59*Q40/100</f>
        <v>139.84</v>
      </c>
      <c r="H60" s="148"/>
      <c r="J60" s="221" t="s">
        <v>294</v>
      </c>
      <c r="K60" s="177">
        <v>2000</v>
      </c>
      <c r="L60" s="177" t="s">
        <v>295</v>
      </c>
      <c r="M60" s="177" t="s">
        <v>296</v>
      </c>
      <c r="N60" s="178" t="s">
        <v>297</v>
      </c>
      <c r="T60" s="151" t="s">
        <v>294</v>
      </c>
      <c r="U60" s="152">
        <v>2000</v>
      </c>
      <c r="V60" s="152" t="s">
        <v>295</v>
      </c>
      <c r="W60" s="152" t="s">
        <v>296</v>
      </c>
      <c r="X60" s="153" t="s">
        <v>297</v>
      </c>
    </row>
    <row r="61" spans="1:25" x14ac:dyDescent="0.25">
      <c r="A61" t="s">
        <v>312</v>
      </c>
      <c r="J61" s="215">
        <v>1</v>
      </c>
      <c r="K61" s="181">
        <f>K60</f>
        <v>2000</v>
      </c>
      <c r="L61" s="222">
        <f>K43*60</f>
        <v>700.5</v>
      </c>
      <c r="M61" s="181">
        <v>225</v>
      </c>
      <c r="N61" s="223">
        <f>K61-L61+M61</f>
        <v>1524.5</v>
      </c>
      <c r="O61" t="s">
        <v>57</v>
      </c>
      <c r="T61" s="166">
        <v>1</v>
      </c>
      <c r="U61" s="167">
        <f>U60</f>
        <v>2000</v>
      </c>
      <c r="V61" s="170">
        <f>O43*60</f>
        <v>547.20000000000005</v>
      </c>
      <c r="W61" s="167">
        <v>225</v>
      </c>
      <c r="X61" s="171">
        <f t="shared" ref="X61:X67" si="31">U61-V61+W61</f>
        <v>1677.8</v>
      </c>
      <c r="Y61" t="s">
        <v>57</v>
      </c>
    </row>
    <row r="62" spans="1:25" x14ac:dyDescent="0.25">
      <c r="A62">
        <v>180</v>
      </c>
      <c r="B62">
        <f>B59</f>
        <v>45</v>
      </c>
      <c r="G62" s="144">
        <f>A62-B62</f>
        <v>135</v>
      </c>
      <c r="J62" s="215">
        <v>2</v>
      </c>
      <c r="K62" s="222">
        <f>N61</f>
        <v>1524.5</v>
      </c>
      <c r="L62" s="222">
        <f>L61</f>
        <v>700.5</v>
      </c>
      <c r="M62" s="181">
        <v>225</v>
      </c>
      <c r="N62" s="223">
        <f>K62-L62+M62</f>
        <v>1049</v>
      </c>
      <c r="O62" t="s">
        <v>299</v>
      </c>
      <c r="T62" s="166">
        <v>2</v>
      </c>
      <c r="U62" s="170">
        <f>X61</f>
        <v>1677.8</v>
      </c>
      <c r="V62" s="170">
        <f>V61</f>
        <v>547.20000000000005</v>
      </c>
      <c r="W62" s="167">
        <v>225</v>
      </c>
      <c r="X62" s="171">
        <f t="shared" si="31"/>
        <v>1355.6</v>
      </c>
      <c r="Y62" t="s">
        <v>299</v>
      </c>
    </row>
    <row r="63" spans="1:25" x14ac:dyDescent="0.25">
      <c r="J63" s="215">
        <v>3</v>
      </c>
      <c r="K63" s="222">
        <f>N62</f>
        <v>1049</v>
      </c>
      <c r="L63" s="222">
        <f>L62</f>
        <v>700.5</v>
      </c>
      <c r="M63" s="181">
        <v>225</v>
      </c>
      <c r="N63" s="223">
        <f>K63-L63+M63</f>
        <v>573.5</v>
      </c>
      <c r="T63" s="166">
        <v>3</v>
      </c>
      <c r="U63" s="170">
        <f>X62</f>
        <v>1355.6</v>
      </c>
      <c r="V63" s="170">
        <f>V62</f>
        <v>547.20000000000005</v>
      </c>
      <c r="W63" s="167">
        <v>225</v>
      </c>
      <c r="X63" s="171">
        <f t="shared" si="31"/>
        <v>1033.3999999999999</v>
      </c>
    </row>
    <row r="64" spans="1:25" x14ac:dyDescent="0.25">
      <c r="A64" t="s">
        <v>318</v>
      </c>
      <c r="J64" s="215">
        <v>4</v>
      </c>
      <c r="K64" s="222">
        <f>N63</f>
        <v>573.5</v>
      </c>
      <c r="L64" s="222">
        <f>L63</f>
        <v>700.5</v>
      </c>
      <c r="M64" s="181">
        <v>225</v>
      </c>
      <c r="N64" s="223">
        <f>K64-L64+M64</f>
        <v>98</v>
      </c>
      <c r="T64" s="166">
        <v>4</v>
      </c>
      <c r="U64" s="170">
        <f>X63</f>
        <v>1033.3999999999999</v>
      </c>
      <c r="V64" s="170">
        <f>V63</f>
        <v>547.20000000000005</v>
      </c>
      <c r="W64" s="167">
        <v>225</v>
      </c>
      <c r="X64" s="171">
        <f t="shared" si="31"/>
        <v>711.19999999999982</v>
      </c>
      <c r="Y64" s="124" t="s">
        <v>57</v>
      </c>
    </row>
    <row r="65" spans="1:25" ht="15.75" thickBot="1" x14ac:dyDescent="0.3">
      <c r="A65" s="146" t="s">
        <v>319</v>
      </c>
      <c r="J65" s="224">
        <v>5</v>
      </c>
      <c r="K65" s="225">
        <f>N64</f>
        <v>98</v>
      </c>
      <c r="L65" s="225">
        <f>L64</f>
        <v>700.5</v>
      </c>
      <c r="M65" s="226">
        <v>225</v>
      </c>
      <c r="N65" s="227">
        <f>K65-L65+M65</f>
        <v>-377.5</v>
      </c>
      <c r="O65" s="124" t="s">
        <v>298</v>
      </c>
      <c r="T65" s="166">
        <v>5</v>
      </c>
      <c r="U65" s="170">
        <f>X64</f>
        <v>711.19999999999982</v>
      </c>
      <c r="V65" s="170">
        <f>V64</f>
        <v>547.20000000000005</v>
      </c>
      <c r="W65" s="167">
        <v>225</v>
      </c>
      <c r="X65" s="171">
        <f t="shared" si="31"/>
        <v>388.99999999999977</v>
      </c>
    </row>
    <row r="66" spans="1:25" x14ac:dyDescent="0.25">
      <c r="J66" s="124">
        <v>6</v>
      </c>
      <c r="K66" s="124"/>
      <c r="L66" s="124"/>
      <c r="T66" s="166">
        <v>6</v>
      </c>
      <c r="U66" s="170">
        <f>X65</f>
        <v>388.99999999999977</v>
      </c>
      <c r="V66" s="170">
        <f>V65</f>
        <v>547.20000000000005</v>
      </c>
      <c r="W66" s="167">
        <f>225</f>
        <v>225</v>
      </c>
      <c r="X66" s="171">
        <f t="shared" si="31"/>
        <v>66.799999999999727</v>
      </c>
    </row>
    <row r="67" spans="1:25" ht="15.75" thickBot="1" x14ac:dyDescent="0.3">
      <c r="J67" s="124">
        <v>7</v>
      </c>
      <c r="K67" s="124"/>
      <c r="L67" s="124"/>
      <c r="T67" s="228">
        <v>7</v>
      </c>
      <c r="U67" s="173">
        <f>X66</f>
        <v>66.799999999999727</v>
      </c>
      <c r="V67" s="173">
        <f>V66</f>
        <v>547.20000000000005</v>
      </c>
      <c r="W67" s="229">
        <v>225</v>
      </c>
      <c r="X67" s="174">
        <f t="shared" si="31"/>
        <v>-255.40000000000032</v>
      </c>
      <c r="Y67" s="124" t="s">
        <v>298</v>
      </c>
    </row>
    <row r="68" spans="1:25" x14ac:dyDescent="0.25">
      <c r="J68" s="124">
        <v>8</v>
      </c>
      <c r="K68" s="124"/>
      <c r="L68" s="124"/>
      <c r="T68" s="124">
        <v>8</v>
      </c>
      <c r="U68" s="124"/>
      <c r="V68" s="124"/>
    </row>
    <row r="69" spans="1:25" x14ac:dyDescent="0.25">
      <c r="J69" s="124"/>
      <c r="K69" s="124"/>
      <c r="L69" s="124"/>
      <c r="T69" s="124"/>
      <c r="U69" s="124"/>
      <c r="V69" s="124"/>
    </row>
    <row r="70" spans="1:25" x14ac:dyDescent="0.25">
      <c r="J70" s="147" t="s">
        <v>332</v>
      </c>
      <c r="K70" s="124"/>
      <c r="L70" s="124"/>
      <c r="T70" s="124"/>
      <c r="U70" s="124"/>
      <c r="V70" s="124"/>
    </row>
    <row r="72" spans="1:25" x14ac:dyDescent="0.25">
      <c r="J72" s="124" t="s">
        <v>294</v>
      </c>
      <c r="K72" s="124">
        <v>2000</v>
      </c>
      <c r="L72" s="124" t="s">
        <v>300</v>
      </c>
      <c r="M72" s="124" t="s">
        <v>296</v>
      </c>
      <c r="N72" s="124" t="s">
        <v>297</v>
      </c>
      <c r="T72" s="124" t="s">
        <v>294</v>
      </c>
      <c r="U72" s="124">
        <v>2000</v>
      </c>
      <c r="V72" s="124" t="s">
        <v>300</v>
      </c>
      <c r="W72" s="124" t="s">
        <v>296</v>
      </c>
      <c r="X72" s="124" t="s">
        <v>297</v>
      </c>
    </row>
    <row r="73" spans="1:25" x14ac:dyDescent="0.25">
      <c r="J73" s="124">
        <v>1</v>
      </c>
      <c r="K73" s="124">
        <f>K72</f>
        <v>2000</v>
      </c>
      <c r="L73" s="128">
        <f>L43*60</f>
        <v>549</v>
      </c>
      <c r="M73" s="124">
        <v>225</v>
      </c>
      <c r="N73" s="128">
        <f t="shared" ref="N73:N78" si="32">K73-L73+M73</f>
        <v>1676</v>
      </c>
      <c r="O73" t="s">
        <v>57</v>
      </c>
      <c r="T73" s="124">
        <v>1</v>
      </c>
      <c r="U73" s="124">
        <f>U72</f>
        <v>2000</v>
      </c>
      <c r="V73" s="128">
        <f>P43*60</f>
        <v>404.40000000000003</v>
      </c>
      <c r="W73" s="124">
        <v>225</v>
      </c>
      <c r="X73" s="128">
        <f t="shared" ref="X73:X82" si="33">U73-V73+W73</f>
        <v>1820.6</v>
      </c>
      <c r="Y73" t="s">
        <v>57</v>
      </c>
    </row>
    <row r="74" spans="1:25" x14ac:dyDescent="0.25">
      <c r="J74" s="124">
        <v>2</v>
      </c>
      <c r="K74" s="128">
        <f>N73</f>
        <v>1676</v>
      </c>
      <c r="L74" s="128">
        <f>L73</f>
        <v>549</v>
      </c>
      <c r="M74" s="124">
        <v>225</v>
      </c>
      <c r="N74" s="128">
        <f t="shared" si="32"/>
        <v>1352</v>
      </c>
      <c r="O74" t="s">
        <v>299</v>
      </c>
      <c r="T74" s="124">
        <v>2</v>
      </c>
      <c r="U74" s="128">
        <f t="shared" ref="U74:U82" si="34">X73</f>
        <v>1820.6</v>
      </c>
      <c r="V74" s="128">
        <f t="shared" ref="V74:V82" si="35">V73</f>
        <v>404.40000000000003</v>
      </c>
      <c r="W74" s="124">
        <v>225</v>
      </c>
      <c r="X74" s="128">
        <f t="shared" si="33"/>
        <v>1641.1999999999998</v>
      </c>
      <c r="Y74" t="s">
        <v>299</v>
      </c>
    </row>
    <row r="75" spans="1:25" x14ac:dyDescent="0.25">
      <c r="J75" s="124">
        <v>3</v>
      </c>
      <c r="K75" s="128">
        <f>N74</f>
        <v>1352</v>
      </c>
      <c r="L75" s="128">
        <f>L74</f>
        <v>549</v>
      </c>
      <c r="M75" s="124">
        <v>225</v>
      </c>
      <c r="N75" s="128">
        <f t="shared" si="32"/>
        <v>1028</v>
      </c>
      <c r="T75" s="124">
        <v>3</v>
      </c>
      <c r="U75" s="128">
        <f t="shared" si="34"/>
        <v>1641.1999999999998</v>
      </c>
      <c r="V75" s="128">
        <f t="shared" si="35"/>
        <v>404.40000000000003</v>
      </c>
      <c r="W75" s="124">
        <v>225</v>
      </c>
      <c r="X75" s="128">
        <f t="shared" si="33"/>
        <v>1461.7999999999997</v>
      </c>
    </row>
    <row r="76" spans="1:25" x14ac:dyDescent="0.25">
      <c r="J76" s="124">
        <v>4</v>
      </c>
      <c r="K76" s="128">
        <f>N75</f>
        <v>1028</v>
      </c>
      <c r="L76" s="128">
        <f>L75</f>
        <v>549</v>
      </c>
      <c r="M76" s="124">
        <v>225</v>
      </c>
      <c r="N76" s="128">
        <f t="shared" si="32"/>
        <v>704</v>
      </c>
      <c r="O76" s="124" t="s">
        <v>57</v>
      </c>
      <c r="T76" s="124">
        <v>4</v>
      </c>
      <c r="U76" s="128">
        <f t="shared" si="34"/>
        <v>1461.7999999999997</v>
      </c>
      <c r="V76" s="128">
        <f t="shared" si="35"/>
        <v>404.40000000000003</v>
      </c>
      <c r="W76" s="124">
        <v>225</v>
      </c>
      <c r="X76" s="128">
        <f t="shared" si="33"/>
        <v>1282.3999999999996</v>
      </c>
      <c r="Y76" s="124" t="s">
        <v>57</v>
      </c>
    </row>
    <row r="77" spans="1:25" x14ac:dyDescent="0.25">
      <c r="J77" s="124">
        <v>5</v>
      </c>
      <c r="K77" s="128">
        <f>N76</f>
        <v>704</v>
      </c>
      <c r="L77" s="128">
        <f>L76</f>
        <v>549</v>
      </c>
      <c r="M77" s="124">
        <v>225</v>
      </c>
      <c r="N77" s="128">
        <f t="shared" si="32"/>
        <v>380</v>
      </c>
      <c r="T77" s="124">
        <v>5</v>
      </c>
      <c r="U77" s="128">
        <f t="shared" si="34"/>
        <v>1282.3999999999996</v>
      </c>
      <c r="V77" s="128">
        <f t="shared" si="35"/>
        <v>404.40000000000003</v>
      </c>
      <c r="W77" s="124">
        <v>225</v>
      </c>
      <c r="X77" s="128">
        <f t="shared" si="33"/>
        <v>1102.9999999999995</v>
      </c>
    </row>
    <row r="78" spans="1:25" x14ac:dyDescent="0.25">
      <c r="J78" s="124">
        <v>6</v>
      </c>
      <c r="K78" s="128">
        <f>N77</f>
        <v>380</v>
      </c>
      <c r="L78" s="128">
        <f>L77</f>
        <v>549</v>
      </c>
      <c r="M78" s="124">
        <f>M77</f>
        <v>225</v>
      </c>
      <c r="N78" s="128">
        <f t="shared" si="32"/>
        <v>56</v>
      </c>
      <c r="O78" s="124" t="s">
        <v>298</v>
      </c>
      <c r="T78" s="124">
        <v>6</v>
      </c>
      <c r="U78" s="128">
        <f t="shared" si="34"/>
        <v>1102.9999999999995</v>
      </c>
      <c r="V78" s="128">
        <f t="shared" si="35"/>
        <v>404.40000000000003</v>
      </c>
      <c r="W78" s="124">
        <f>W77</f>
        <v>225</v>
      </c>
      <c r="X78" s="128">
        <f t="shared" si="33"/>
        <v>923.59999999999945</v>
      </c>
      <c r="Y78" s="124" t="s">
        <v>57</v>
      </c>
    </row>
    <row r="79" spans="1:25" x14ac:dyDescent="0.25">
      <c r="J79" s="124">
        <v>7</v>
      </c>
      <c r="K79" s="124"/>
      <c r="L79" s="124"/>
      <c r="T79" s="124">
        <v>7</v>
      </c>
      <c r="U79" s="128">
        <f t="shared" si="34"/>
        <v>923.59999999999945</v>
      </c>
      <c r="V79" s="128">
        <f t="shared" si="35"/>
        <v>404.40000000000003</v>
      </c>
      <c r="W79" s="124">
        <v>225</v>
      </c>
      <c r="X79" s="128">
        <f t="shared" si="33"/>
        <v>744.19999999999936</v>
      </c>
    </row>
    <row r="80" spans="1:25" x14ac:dyDescent="0.25">
      <c r="J80" s="124">
        <v>8</v>
      </c>
      <c r="K80" s="124"/>
      <c r="L80" s="124"/>
      <c r="T80" s="124">
        <v>8</v>
      </c>
      <c r="U80" s="128">
        <f t="shared" si="34"/>
        <v>744.19999999999936</v>
      </c>
      <c r="V80" s="128">
        <f t="shared" si="35"/>
        <v>404.40000000000003</v>
      </c>
      <c r="W80" s="124">
        <v>225</v>
      </c>
      <c r="X80" s="128">
        <f t="shared" si="33"/>
        <v>564.79999999999927</v>
      </c>
    </row>
    <row r="81" spans="10:25" x14ac:dyDescent="0.25">
      <c r="T81" s="124">
        <v>9</v>
      </c>
      <c r="U81" s="128">
        <f t="shared" si="34"/>
        <v>564.79999999999927</v>
      </c>
      <c r="V81" s="128">
        <f t="shared" si="35"/>
        <v>404.40000000000003</v>
      </c>
      <c r="W81" s="124">
        <v>225</v>
      </c>
      <c r="X81" s="128">
        <f t="shared" si="33"/>
        <v>385.39999999999924</v>
      </c>
    </row>
    <row r="82" spans="10:25" x14ac:dyDescent="0.25">
      <c r="T82" s="124">
        <v>10</v>
      </c>
      <c r="U82" s="128">
        <f t="shared" si="34"/>
        <v>385.39999999999924</v>
      </c>
      <c r="V82" s="128">
        <f t="shared" si="35"/>
        <v>404.40000000000003</v>
      </c>
      <c r="W82" s="124">
        <f>W81</f>
        <v>225</v>
      </c>
      <c r="X82" s="128">
        <f t="shared" si="33"/>
        <v>205.9999999999992</v>
      </c>
      <c r="Y82" s="124" t="s">
        <v>298</v>
      </c>
    </row>
    <row r="83" spans="10:25" x14ac:dyDescent="0.25">
      <c r="T83" s="124"/>
      <c r="U83" s="128"/>
      <c r="V83" s="145"/>
      <c r="W83" s="124"/>
      <c r="X83" s="128"/>
    </row>
    <row r="84" spans="10:25" x14ac:dyDescent="0.25">
      <c r="J84" s="124" t="s">
        <v>294</v>
      </c>
      <c r="K84" s="124">
        <v>2000</v>
      </c>
      <c r="L84" s="124" t="s">
        <v>301</v>
      </c>
      <c r="M84" s="124" t="s">
        <v>296</v>
      </c>
      <c r="N84" s="124" t="s">
        <v>297</v>
      </c>
      <c r="T84" s="124" t="s">
        <v>294</v>
      </c>
      <c r="U84" s="124">
        <v>2000</v>
      </c>
      <c r="V84" s="124" t="s">
        <v>301</v>
      </c>
      <c r="W84" s="124" t="s">
        <v>296</v>
      </c>
      <c r="X84" s="124" t="s">
        <v>297</v>
      </c>
    </row>
    <row r="85" spans="10:25" x14ac:dyDescent="0.25">
      <c r="J85" s="124">
        <v>1</v>
      </c>
      <c r="K85" s="124">
        <f>K84</f>
        <v>2000</v>
      </c>
      <c r="L85" s="128">
        <f>M43*60</f>
        <v>852</v>
      </c>
      <c r="M85" s="124">
        <v>225</v>
      </c>
      <c r="N85" s="128">
        <f t="shared" ref="N85:N90" si="36">K85-L85+M85</f>
        <v>1373</v>
      </c>
      <c r="O85" t="s">
        <v>57</v>
      </c>
      <c r="T85" s="124">
        <v>1</v>
      </c>
      <c r="U85" s="124">
        <f>U84</f>
        <v>2000</v>
      </c>
      <c r="V85" s="128">
        <f>G46*60</f>
        <v>690</v>
      </c>
      <c r="W85" s="124">
        <v>225</v>
      </c>
      <c r="X85" s="128">
        <f>U85-V85+W85</f>
        <v>1535</v>
      </c>
      <c r="Y85" t="s">
        <v>57</v>
      </c>
    </row>
    <row r="86" spans="10:25" x14ac:dyDescent="0.25">
      <c r="J86" s="124">
        <v>2</v>
      </c>
      <c r="K86" s="128">
        <f>N85</f>
        <v>1373</v>
      </c>
      <c r="L86" s="128">
        <f>L85</f>
        <v>852</v>
      </c>
      <c r="M86" s="124">
        <v>225</v>
      </c>
      <c r="N86" s="128">
        <f t="shared" si="36"/>
        <v>746</v>
      </c>
      <c r="O86" t="s">
        <v>299</v>
      </c>
      <c r="T86" s="124">
        <v>2</v>
      </c>
      <c r="U86" s="128">
        <f>X85</f>
        <v>1535</v>
      </c>
      <c r="V86" s="128">
        <f>V85</f>
        <v>690</v>
      </c>
      <c r="W86" s="124">
        <v>225</v>
      </c>
      <c r="X86" s="128">
        <f>U86-V86+W86</f>
        <v>1070</v>
      </c>
      <c r="Y86" t="s">
        <v>299</v>
      </c>
    </row>
    <row r="87" spans="10:25" x14ac:dyDescent="0.25">
      <c r="J87" s="124">
        <v>3</v>
      </c>
      <c r="K87" s="128">
        <f>N86</f>
        <v>746</v>
      </c>
      <c r="L87" s="128">
        <f>L86</f>
        <v>852</v>
      </c>
      <c r="M87" s="124">
        <v>225</v>
      </c>
      <c r="N87" s="128">
        <f t="shared" si="36"/>
        <v>119</v>
      </c>
      <c r="O87" s="124" t="s">
        <v>298</v>
      </c>
      <c r="T87" s="124">
        <v>3</v>
      </c>
      <c r="U87" s="128">
        <f>X86</f>
        <v>1070</v>
      </c>
      <c r="V87" s="128">
        <f>V86</f>
        <v>690</v>
      </c>
      <c r="W87" s="124">
        <v>225</v>
      </c>
      <c r="X87" s="128">
        <f>U87-V87+W87</f>
        <v>605</v>
      </c>
      <c r="Y87" s="124" t="s">
        <v>57</v>
      </c>
    </row>
    <row r="88" spans="10:25" x14ac:dyDescent="0.25">
      <c r="J88" s="124">
        <v>4</v>
      </c>
      <c r="K88" s="128">
        <f>N87</f>
        <v>119</v>
      </c>
      <c r="L88" s="128">
        <f>L87</f>
        <v>852</v>
      </c>
      <c r="M88" s="124">
        <v>225</v>
      </c>
      <c r="N88" s="128">
        <f t="shared" si="36"/>
        <v>-508</v>
      </c>
      <c r="O88" s="124"/>
      <c r="T88" s="124">
        <v>4</v>
      </c>
      <c r="U88" s="128">
        <f>X87</f>
        <v>605</v>
      </c>
      <c r="V88" s="128">
        <f>V87</f>
        <v>690</v>
      </c>
      <c r="W88" s="124">
        <v>225</v>
      </c>
      <c r="X88" s="128">
        <f>U88-V88+W88</f>
        <v>140</v>
      </c>
      <c r="Y88" s="124" t="s">
        <v>298</v>
      </c>
    </row>
    <row r="89" spans="10:25" x14ac:dyDescent="0.25">
      <c r="J89" s="124">
        <v>5</v>
      </c>
      <c r="K89" s="128">
        <f>N88</f>
        <v>-508</v>
      </c>
      <c r="L89" s="128">
        <f>L88</f>
        <v>852</v>
      </c>
      <c r="M89" s="124">
        <v>225</v>
      </c>
      <c r="N89" s="128">
        <f t="shared" si="36"/>
        <v>-1135</v>
      </c>
      <c r="T89" s="124">
        <v>5</v>
      </c>
      <c r="U89" s="128" t="s">
        <v>57</v>
      </c>
      <c r="V89" s="128" t="s">
        <v>57</v>
      </c>
      <c r="W89" s="124" t="s">
        <v>57</v>
      </c>
      <c r="X89" s="128" t="s">
        <v>57</v>
      </c>
    </row>
    <row r="90" spans="10:25" x14ac:dyDescent="0.25">
      <c r="J90" s="124">
        <v>6</v>
      </c>
      <c r="K90" s="128">
        <f>N89</f>
        <v>-1135</v>
      </c>
      <c r="L90" s="128">
        <f>L89</f>
        <v>852</v>
      </c>
      <c r="M90" s="124">
        <f>M89</f>
        <v>225</v>
      </c>
      <c r="N90" s="128">
        <f t="shared" si="36"/>
        <v>-1762</v>
      </c>
      <c r="O90" s="124" t="s">
        <v>57</v>
      </c>
      <c r="T90" s="124">
        <v>6</v>
      </c>
      <c r="U90" s="128" t="str">
        <f>X89</f>
        <v xml:space="preserve"> </v>
      </c>
      <c r="V90" s="128" t="s">
        <v>57</v>
      </c>
      <c r="W90" s="124" t="s">
        <v>57</v>
      </c>
      <c r="X90" s="128" t="s">
        <v>57</v>
      </c>
      <c r="Y90" s="124" t="s">
        <v>57</v>
      </c>
    </row>
    <row r="91" spans="10:25" x14ac:dyDescent="0.25">
      <c r="J91" s="124">
        <v>7</v>
      </c>
      <c r="K91" s="124"/>
      <c r="L91" s="124"/>
      <c r="T91" s="124">
        <v>7</v>
      </c>
      <c r="U91" s="124"/>
      <c r="V91" s="124"/>
    </row>
    <row r="92" spans="10:25" x14ac:dyDescent="0.25">
      <c r="J92" s="124">
        <v>8</v>
      </c>
      <c r="K92" s="124"/>
      <c r="L92" s="124"/>
      <c r="T92" s="124">
        <v>8</v>
      </c>
      <c r="U92" s="124"/>
      <c r="V92" s="124"/>
    </row>
    <row r="94" spans="10:25" ht="15.75" x14ac:dyDescent="0.25">
      <c r="J94" s="150" t="s">
        <v>302</v>
      </c>
    </row>
    <row r="95" spans="10:25" ht="15.75" x14ac:dyDescent="0.25">
      <c r="J95" s="150" t="s">
        <v>306</v>
      </c>
    </row>
    <row r="96" spans="10:25" ht="15.75" x14ac:dyDescent="0.25">
      <c r="J96" s="150" t="s">
        <v>305</v>
      </c>
    </row>
    <row r="97" spans="10:12" ht="15.75" x14ac:dyDescent="0.25">
      <c r="J97" s="150" t="s">
        <v>307</v>
      </c>
    </row>
    <row r="100" spans="10:12" ht="15.75" x14ac:dyDescent="0.25">
      <c r="J100" s="150" t="s">
        <v>308</v>
      </c>
    </row>
    <row r="101" spans="10:12" ht="15.75" x14ac:dyDescent="0.25">
      <c r="J101" s="150" t="s">
        <v>309</v>
      </c>
    </row>
    <row r="103" spans="10:12" x14ac:dyDescent="0.25">
      <c r="J103" t="s">
        <v>328</v>
      </c>
    </row>
    <row r="105" spans="10:12" x14ac:dyDescent="0.25">
      <c r="J105" t="s">
        <v>329</v>
      </c>
    </row>
    <row r="106" spans="10:12" x14ac:dyDescent="0.25">
      <c r="J106" t="s">
        <v>330</v>
      </c>
    </row>
    <row r="107" spans="10:12" x14ac:dyDescent="0.25">
      <c r="J107" t="s">
        <v>331</v>
      </c>
    </row>
    <row r="108" spans="10:12" x14ac:dyDescent="0.25">
      <c r="J108" t="s">
        <v>333</v>
      </c>
    </row>
    <row r="109" spans="10:12" x14ac:dyDescent="0.25">
      <c r="J109" t="s">
        <v>334</v>
      </c>
    </row>
    <row r="110" spans="10:12" x14ac:dyDescent="0.25">
      <c r="J110" s="145">
        <f>210 - 0.5*(45) - 0.05* (203) + 4</f>
        <v>181.35</v>
      </c>
      <c r="L110" t="s">
        <v>57</v>
      </c>
    </row>
    <row r="111" spans="10:12" x14ac:dyDescent="0.25">
      <c r="J111" s="145">
        <f>J110*(0.24+0.1)</f>
        <v>61.658999999999992</v>
      </c>
      <c r="K111" t="s">
        <v>321</v>
      </c>
    </row>
    <row r="112" spans="10:12" x14ac:dyDescent="0.25">
      <c r="J112" s="145">
        <f>J110*(0.46+0.1)</f>
        <v>101.55600000000001</v>
      </c>
      <c r="K112" t="s">
        <v>321</v>
      </c>
    </row>
  </sheetData>
  <phoneticPr fontId="11" type="noConversion"/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8E55-EB87-4B16-8F0A-D004923C1363}">
  <dimension ref="A1:J65"/>
  <sheetViews>
    <sheetView workbookViewId="0"/>
  </sheetViews>
  <sheetFormatPr defaultRowHeight="15" x14ac:dyDescent="0.25"/>
  <cols>
    <col min="1" max="1" width="141" bestFit="1" customWidth="1"/>
    <col min="6" max="6" width="9.7109375" bestFit="1" customWidth="1"/>
  </cols>
  <sheetData>
    <row r="1" spans="1:10" x14ac:dyDescent="0.25">
      <c r="A1" t="s">
        <v>186</v>
      </c>
    </row>
    <row r="2" spans="1:10" x14ac:dyDescent="0.25">
      <c r="A2" t="s">
        <v>187</v>
      </c>
      <c r="D2" t="s">
        <v>189</v>
      </c>
      <c r="F2" s="114">
        <v>43513</v>
      </c>
      <c r="J2" t="s">
        <v>251</v>
      </c>
    </row>
    <row r="3" spans="1:10" x14ac:dyDescent="0.25">
      <c r="A3" s="113" t="s">
        <v>188</v>
      </c>
    </row>
    <row r="4" spans="1:10" x14ac:dyDescent="0.25">
      <c r="A4" t="s">
        <v>336</v>
      </c>
    </row>
    <row r="5" spans="1:10" x14ac:dyDescent="0.25">
      <c r="A5" s="113" t="s">
        <v>335</v>
      </c>
    </row>
    <row r="6" spans="1:10" x14ac:dyDescent="0.25">
      <c r="A6" t="s">
        <v>212</v>
      </c>
    </row>
    <row r="7" spans="1:10" x14ac:dyDescent="0.25">
      <c r="A7" s="113" t="s">
        <v>211</v>
      </c>
    </row>
    <row r="8" spans="1:10" x14ac:dyDescent="0.25">
      <c r="A8" t="s">
        <v>214</v>
      </c>
    </row>
    <row r="9" spans="1:10" x14ac:dyDescent="0.25">
      <c r="A9" s="113" t="s">
        <v>213</v>
      </c>
    </row>
    <row r="10" spans="1:10" x14ac:dyDescent="0.25">
      <c r="A10" t="s">
        <v>193</v>
      </c>
    </row>
    <row r="11" spans="1:10" x14ac:dyDescent="0.25">
      <c r="A11" t="s">
        <v>199</v>
      </c>
    </row>
    <row r="12" spans="1:10" x14ac:dyDescent="0.25">
      <c r="A12" s="113" t="s">
        <v>198</v>
      </c>
    </row>
    <row r="13" spans="1:10" x14ac:dyDescent="0.25">
      <c r="A13" t="s">
        <v>192</v>
      </c>
    </row>
    <row r="14" spans="1:10" x14ac:dyDescent="0.25">
      <c r="A14" s="113" t="s">
        <v>191</v>
      </c>
    </row>
    <row r="15" spans="1:10" x14ac:dyDescent="0.25">
      <c r="A15" t="s">
        <v>195</v>
      </c>
    </row>
    <row r="16" spans="1:10" x14ac:dyDescent="0.25">
      <c r="A16" s="113" t="s">
        <v>194</v>
      </c>
    </row>
    <row r="17" spans="1:1" x14ac:dyDescent="0.25">
      <c r="A17" t="s">
        <v>196</v>
      </c>
    </row>
    <row r="18" spans="1:1" x14ac:dyDescent="0.25">
      <c r="A18" s="113" t="s">
        <v>197</v>
      </c>
    </row>
    <row r="19" spans="1:1" x14ac:dyDescent="0.25">
      <c r="A19" s="123" t="s">
        <v>209</v>
      </c>
    </row>
    <row r="20" spans="1:1" x14ac:dyDescent="0.25">
      <c r="A20" s="123" t="s">
        <v>216</v>
      </c>
    </row>
    <row r="21" spans="1:1" x14ac:dyDescent="0.25">
      <c r="A21" s="113" t="s">
        <v>200</v>
      </c>
    </row>
    <row r="22" spans="1:1" x14ac:dyDescent="0.25">
      <c r="A22" s="123" t="s">
        <v>215</v>
      </c>
    </row>
    <row r="23" spans="1:1" x14ac:dyDescent="0.25">
      <c r="A23" s="113" t="s">
        <v>210</v>
      </c>
    </row>
    <row r="24" spans="1:1" x14ac:dyDescent="0.25">
      <c r="A24" s="123" t="s">
        <v>218</v>
      </c>
    </row>
    <row r="25" spans="1:1" x14ac:dyDescent="0.25">
      <c r="A25" s="113" t="s">
        <v>217</v>
      </c>
    </row>
    <row r="26" spans="1:1" x14ac:dyDescent="0.25">
      <c r="A26" s="123" t="s">
        <v>220</v>
      </c>
    </row>
    <row r="27" spans="1:1" x14ac:dyDescent="0.25">
      <c r="A27" s="113" t="s">
        <v>219</v>
      </c>
    </row>
    <row r="28" spans="1:1" x14ac:dyDescent="0.25">
      <c r="A28" t="s">
        <v>201</v>
      </c>
    </row>
    <row r="29" spans="1:1" x14ac:dyDescent="0.25">
      <c r="A29" s="113" t="s">
        <v>202</v>
      </c>
    </row>
    <row r="30" spans="1:1" x14ac:dyDescent="0.25">
      <c r="A30" t="s">
        <v>203</v>
      </c>
    </row>
    <row r="31" spans="1:1" x14ac:dyDescent="0.25">
      <c r="A31" s="113" t="s">
        <v>204</v>
      </c>
    </row>
    <row r="32" spans="1:1" x14ac:dyDescent="0.25">
      <c r="A32" t="s">
        <v>206</v>
      </c>
    </row>
    <row r="33" spans="1:1" x14ac:dyDescent="0.25">
      <c r="A33" s="113" t="s">
        <v>205</v>
      </c>
    </row>
    <row r="34" spans="1:1" x14ac:dyDescent="0.25">
      <c r="A34" t="s">
        <v>207</v>
      </c>
    </row>
    <row r="35" spans="1:1" x14ac:dyDescent="0.25">
      <c r="A35" s="113" t="s">
        <v>208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223</v>
      </c>
    </row>
    <row r="39" spans="1:1" x14ac:dyDescent="0.25">
      <c r="A39" s="113" t="s">
        <v>226</v>
      </c>
    </row>
    <row r="40" spans="1:1" x14ac:dyDescent="0.25">
      <c r="A40" t="s">
        <v>222</v>
      </c>
    </row>
    <row r="41" spans="1:1" x14ac:dyDescent="0.25">
      <c r="A41" s="113" t="s">
        <v>221</v>
      </c>
    </row>
    <row r="42" spans="1:1" x14ac:dyDescent="0.25">
      <c r="A42" t="s">
        <v>228</v>
      </c>
    </row>
    <row r="43" spans="1:1" x14ac:dyDescent="0.25">
      <c r="A43" s="113" t="s">
        <v>227</v>
      </c>
    </row>
    <row r="44" spans="1:1" x14ac:dyDescent="0.25">
      <c r="A44" t="s">
        <v>229</v>
      </c>
    </row>
    <row r="45" spans="1:1" x14ac:dyDescent="0.25">
      <c r="A45" s="113" t="s">
        <v>230</v>
      </c>
    </row>
    <row r="46" spans="1:1" x14ac:dyDescent="0.25">
      <c r="A46" t="s">
        <v>237</v>
      </c>
    </row>
    <row r="47" spans="1:1" x14ac:dyDescent="0.25">
      <c r="A47" s="113" t="s">
        <v>238</v>
      </c>
    </row>
    <row r="48" spans="1:1" x14ac:dyDescent="0.25">
      <c r="A48" t="s">
        <v>231</v>
      </c>
    </row>
    <row r="49" spans="1:1" x14ac:dyDescent="0.25">
      <c r="A49" s="113" t="s">
        <v>232</v>
      </c>
    </row>
    <row r="50" spans="1:1" x14ac:dyDescent="0.25">
      <c r="A50" t="s">
        <v>234</v>
      </c>
    </row>
    <row r="51" spans="1:1" x14ac:dyDescent="0.25">
      <c r="A51" s="113" t="s">
        <v>233</v>
      </c>
    </row>
    <row r="52" spans="1:1" x14ac:dyDescent="0.25">
      <c r="A52" t="s">
        <v>236</v>
      </c>
    </row>
    <row r="53" spans="1:1" x14ac:dyDescent="0.25">
      <c r="A53" s="113" t="s">
        <v>235</v>
      </c>
    </row>
    <row r="54" spans="1:1" x14ac:dyDescent="0.25">
      <c r="A54" t="s">
        <v>240</v>
      </c>
    </row>
    <row r="55" spans="1:1" x14ac:dyDescent="0.25">
      <c r="A55" s="113" t="s">
        <v>239</v>
      </c>
    </row>
    <row r="56" spans="1:1" x14ac:dyDescent="0.25">
      <c r="A56" t="s">
        <v>242</v>
      </c>
    </row>
    <row r="57" spans="1:1" x14ac:dyDescent="0.25">
      <c r="A57" s="113" t="s">
        <v>241</v>
      </c>
    </row>
    <row r="58" spans="1:1" x14ac:dyDescent="0.25">
      <c r="A58" t="s">
        <v>244</v>
      </c>
    </row>
    <row r="59" spans="1:1" x14ac:dyDescent="0.25">
      <c r="A59" s="113" t="s">
        <v>243</v>
      </c>
    </row>
    <row r="60" spans="1:1" x14ac:dyDescent="0.25">
      <c r="A60" t="s">
        <v>248</v>
      </c>
    </row>
    <row r="61" spans="1:1" x14ac:dyDescent="0.25">
      <c r="A61" s="113" t="s">
        <v>247</v>
      </c>
    </row>
    <row r="62" spans="1:1" x14ac:dyDescent="0.25">
      <c r="A62" t="s">
        <v>246</v>
      </c>
    </row>
    <row r="63" spans="1:1" x14ac:dyDescent="0.25">
      <c r="A63" s="113" t="s">
        <v>245</v>
      </c>
    </row>
    <row r="64" spans="1:1" x14ac:dyDescent="0.25">
      <c r="A64" t="s">
        <v>310</v>
      </c>
    </row>
    <row r="65" spans="1:1" x14ac:dyDescent="0.25">
      <c r="A65" s="113" t="s">
        <v>311</v>
      </c>
    </row>
  </sheetData>
  <hyperlinks>
    <hyperlink ref="A3" r:id="rId1" xr:uid="{D90C149A-8D98-45EA-91A4-1B59533CF0DD}"/>
    <hyperlink ref="A14" r:id="rId2" xr:uid="{5472E2C7-77C4-420C-9863-7E7ADF0DD65B}"/>
    <hyperlink ref="A16" r:id="rId3" xr:uid="{C5B19D0C-62B8-44F3-9534-E7CBCB0DDBE7}"/>
    <hyperlink ref="A18" r:id="rId4" xr:uid="{DA09E621-2D70-4E58-9736-08EEE2FB0079}"/>
    <hyperlink ref="A12" r:id="rId5" xr:uid="{559BE7CB-82B1-4DCB-81AB-3DF95617DB00}"/>
    <hyperlink ref="A21" r:id="rId6" xr:uid="{C910F8DB-FE2F-43FF-A9BB-616C93761C3B}"/>
    <hyperlink ref="A29" r:id="rId7" xr:uid="{BCED903F-0783-4B53-9756-DDFEC4363E04}"/>
    <hyperlink ref="A31" r:id="rId8" xr:uid="{02CB3EDB-10FD-43DA-99CB-1ED884520A4C}"/>
    <hyperlink ref="A33" r:id="rId9" xr:uid="{A41AB381-EC16-4091-A852-CAAA66CC11B7}"/>
    <hyperlink ref="A35" r:id="rId10" location=".Xs_nUDpKjIX" xr:uid="{E8D8088B-075A-4B1B-993C-03C89FE21D76}"/>
    <hyperlink ref="A23" r:id="rId11" xr:uid="{13857C51-4BE3-4A12-98D4-888FBAC63EA8}"/>
    <hyperlink ref="A7" r:id="rId12" xr:uid="{BE28C879-D265-40AF-A737-A41640C45B65}"/>
    <hyperlink ref="A9" r:id="rId13" xr:uid="{47C1274D-8907-4C1C-911A-A69FA1265F8E}"/>
    <hyperlink ref="A25" r:id="rId14" xr:uid="{1FBAB94B-4D43-43E9-A138-3538D5D8C747}"/>
    <hyperlink ref="A27" r:id="rId15" xr:uid="{72E0D4CC-4101-4B46-BF89-573C340C0F64}"/>
    <hyperlink ref="A41" r:id="rId16" xr:uid="{34CE44A8-2D45-4D3C-B310-B369EB2513F8}"/>
    <hyperlink ref="A39" r:id="rId17" xr:uid="{422DDCF0-A0AD-40D2-8F97-6981CF5688FE}"/>
    <hyperlink ref="A43" r:id="rId18" xr:uid="{0A45576D-26AE-4A3A-A171-5A9AA934E55C}"/>
    <hyperlink ref="A45" r:id="rId19" xr:uid="{85E98F40-B2E9-450D-BDD7-DA93D94DEB4E}"/>
    <hyperlink ref="A49" r:id="rId20" xr:uid="{84A7F2A8-2414-43A9-AF77-D09E5AB8260C}"/>
    <hyperlink ref="A51" r:id="rId21" xr:uid="{6220AD2A-AA65-4161-922B-A47AFDC4D642}"/>
    <hyperlink ref="A53" r:id="rId22" xr:uid="{6E5EB980-1534-4731-82B5-86462A3F1B07}"/>
    <hyperlink ref="A47" r:id="rId23" xr:uid="{20D79DC8-7F36-405A-A91B-BF1BB90A6F4A}"/>
    <hyperlink ref="A55" r:id="rId24" xr:uid="{5748F60D-1B4A-494C-8BF5-FA9516E61E03}"/>
    <hyperlink ref="A57" r:id="rId25" xr:uid="{175860B8-196F-4C31-8F71-509BABA3EA79}"/>
    <hyperlink ref="A59" r:id="rId26" xr:uid="{ADB9FE99-8C4D-4AB6-8799-1760A224B544}"/>
    <hyperlink ref="A63" r:id="rId27" xr:uid="{128AFF7D-740A-4472-8F3D-3A9EE1A68645}"/>
    <hyperlink ref="A61" r:id="rId28" xr:uid="{B6910653-EE1C-4FE6-A3CA-52B6BEB63FCA}"/>
    <hyperlink ref="A65" r:id="rId29" xr:uid="{792C12B2-2D3B-4D26-9C2F-29059FB26F9D}"/>
    <hyperlink ref="A5" r:id="rId30" location=":~:text=maximum%20heart%20rate.,female%20%3D%20Estimated%20Maximum%20heart%20rate." xr:uid="{2842EA18-9C4F-4910-9425-523DCD47B51D}"/>
  </hyperlinks>
  <pageMargins left="0.7" right="0.7" top="0.75" bottom="0.75" header="0.3" footer="0.3"/>
  <pageSetup orientation="portrait" horizontalDpi="0" verticalDpi="0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Electrolytes</vt:lpstr>
      <vt:lpstr>Recovery Drinks</vt:lpstr>
      <vt:lpstr>Protein SNACK</vt:lpstr>
      <vt:lpstr>REVS per year</vt:lpstr>
      <vt:lpstr>Periodization EX + Damage</vt:lpstr>
      <vt:lpstr>FAT Burn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2019-02-27T21:11:06Z</dcterms:created>
  <dcterms:modified xsi:type="dcterms:W3CDTF">2020-06-04T16:38:54Z</dcterms:modified>
</cp:coreProperties>
</file>