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22_Endurance_Training_Overview_52120\"/>
    </mc:Choice>
  </mc:AlternateContent>
  <xr:revisionPtr revIDLastSave="0" documentId="13_ncr:1_{D37E2366-C657-438D-AFA8-544C510BEF15}" xr6:coauthVersionLast="45" xr6:coauthVersionMax="45" xr10:uidLastSave="{00000000-0000-0000-0000-000000000000}"/>
  <bookViews>
    <workbookView xWindow="-120" yWindow="-120" windowWidth="20730" windowHeight="11160" activeTab="4" xr2:uid="{CB50B8EA-9E13-49C9-9237-D9A8123EFFA8}"/>
  </bookViews>
  <sheets>
    <sheet name="Electrolytes" sheetId="1" r:id="rId1"/>
    <sheet name="Recovery Drinks" sheetId="2" r:id="rId2"/>
    <sheet name="Protein SNACK" sheetId="3" r:id="rId3"/>
    <sheet name="REVS per year" sheetId="4" r:id="rId4"/>
    <sheet name="Periodization EX + Damage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1" i="5" l="1"/>
  <c r="U41" i="5"/>
  <c r="V40" i="5"/>
  <c r="V42" i="5" s="1"/>
  <c r="U40" i="5"/>
  <c r="U42" i="5" s="1"/>
  <c r="V34" i="5"/>
  <c r="V33" i="5"/>
  <c r="V32" i="5"/>
  <c r="U34" i="5"/>
  <c r="U33" i="5"/>
  <c r="U32" i="5"/>
  <c r="N44" i="5" l="1"/>
  <c r="F44" i="5"/>
  <c r="J44" i="5"/>
  <c r="N36" i="5"/>
  <c r="J36" i="5"/>
  <c r="F36" i="5"/>
  <c r="M53" i="5"/>
  <c r="I53" i="5"/>
  <c r="Q53" i="5" s="1"/>
  <c r="E53" i="5"/>
  <c r="Q49" i="5"/>
  <c r="M44" i="5"/>
  <c r="I44" i="5"/>
  <c r="E44" i="5"/>
  <c r="Q40" i="5"/>
  <c r="M36" i="5"/>
  <c r="I36" i="5"/>
  <c r="E36" i="5"/>
  <c r="Q32" i="5"/>
  <c r="Q23" i="5"/>
  <c r="Q14" i="5"/>
  <c r="M26" i="5"/>
  <c r="I26" i="5"/>
  <c r="E26" i="5"/>
  <c r="Q26" i="5" s="1"/>
  <c r="Q22" i="5"/>
  <c r="M17" i="5"/>
  <c r="I17" i="5"/>
  <c r="E17" i="5"/>
  <c r="Q13" i="5"/>
  <c r="Q9" i="5"/>
  <c r="Q5" i="5"/>
  <c r="M9" i="5"/>
  <c r="I9" i="5"/>
  <c r="E9" i="5"/>
  <c r="C4" i="4"/>
  <c r="Q36" i="5" l="1"/>
  <c r="Q50" i="5"/>
  <c r="Q44" i="5"/>
  <c r="Q54" i="5" s="1"/>
  <c r="Q41" i="5"/>
  <c r="Q17" i="5"/>
  <c r="J22" i="3"/>
  <c r="I22" i="3"/>
  <c r="I21" i="3"/>
  <c r="I20" i="3"/>
  <c r="F28" i="3"/>
  <c r="E28" i="3"/>
  <c r="F27" i="3"/>
  <c r="E27" i="3"/>
  <c r="I14" i="3"/>
  <c r="G20" i="3"/>
  <c r="F20" i="3"/>
  <c r="E20" i="3"/>
  <c r="J10" i="3"/>
  <c r="J9" i="3"/>
  <c r="J8" i="3"/>
  <c r="J4" i="3"/>
  <c r="J7" i="3"/>
  <c r="J6" i="3"/>
  <c r="J5" i="3"/>
  <c r="I10" i="3"/>
  <c r="H10" i="3"/>
  <c r="G10" i="3"/>
  <c r="F10" i="3"/>
  <c r="E10" i="3"/>
  <c r="I9" i="3"/>
  <c r="F9" i="3"/>
  <c r="E9" i="3"/>
  <c r="H9" i="3"/>
  <c r="I8" i="3"/>
  <c r="H8" i="3"/>
  <c r="G8" i="3"/>
  <c r="F8" i="3"/>
  <c r="E8" i="3"/>
  <c r="I7" i="3"/>
  <c r="H7" i="3"/>
  <c r="I6" i="3"/>
  <c r="H6" i="3"/>
  <c r="G6" i="3"/>
  <c r="F6" i="3"/>
  <c r="Q18" i="5" l="1"/>
  <c r="Q27" i="5"/>
  <c r="Q45" i="5"/>
  <c r="J11" i="3"/>
  <c r="J12" i="3" s="1"/>
  <c r="J13" i="3" s="1"/>
  <c r="E6" i="3"/>
  <c r="I5" i="3"/>
  <c r="G4" i="3"/>
  <c r="G11" i="3" s="1"/>
  <c r="F4" i="3"/>
  <c r="E4" i="3"/>
  <c r="I4" i="3"/>
  <c r="F7" i="3"/>
  <c r="H4" i="3"/>
  <c r="F4" i="4"/>
  <c r="I17" i="3"/>
  <c r="G28" i="3" s="1"/>
  <c r="I16" i="3"/>
  <c r="G27" i="3" s="1"/>
  <c r="F14" i="3"/>
  <c r="G14" i="3"/>
  <c r="H14" i="3"/>
  <c r="E14" i="3"/>
  <c r="F11" i="3" l="1"/>
  <c r="F12" i="3" s="1"/>
  <c r="F13" i="3" s="1"/>
  <c r="I11" i="3"/>
  <c r="H11" i="3"/>
  <c r="H12" i="3" s="1"/>
  <c r="H13" i="3" s="1"/>
  <c r="E11" i="3"/>
  <c r="E12" i="3" s="1"/>
  <c r="E13" i="3" s="1"/>
  <c r="G12" i="3"/>
  <c r="G13" i="3" s="1"/>
  <c r="I12" i="3" l="1"/>
  <c r="I13" i="3" s="1"/>
  <c r="N11" i="3"/>
  <c r="N12" i="3" s="1"/>
  <c r="P44" i="2"/>
  <c r="O44" i="2"/>
  <c r="M46" i="2"/>
  <c r="O11" i="3" l="1"/>
  <c r="N13" i="3"/>
  <c r="D42" i="2"/>
  <c r="E42" i="2"/>
  <c r="F42" i="2"/>
  <c r="G42" i="2"/>
  <c r="H42" i="2"/>
  <c r="C42" i="2"/>
  <c r="D45" i="2"/>
  <c r="E45" i="2"/>
  <c r="F45" i="2"/>
  <c r="G45" i="2"/>
  <c r="H45" i="2"/>
  <c r="D43" i="2"/>
  <c r="E43" i="2"/>
  <c r="F43" i="2"/>
  <c r="G43" i="2"/>
  <c r="H43" i="2"/>
  <c r="C45" i="2"/>
  <c r="C43" i="2"/>
  <c r="E39" i="2"/>
  <c r="H39" i="2"/>
  <c r="M1" i="2" l="1"/>
  <c r="O1" i="2" s="1"/>
  <c r="G39" i="2"/>
  <c r="Q1" i="2" l="1"/>
  <c r="F39" i="2"/>
  <c r="D39" i="2"/>
  <c r="C39" i="2"/>
  <c r="D14" i="1"/>
  <c r="D13" i="1"/>
  <c r="D10" i="1"/>
  <c r="E14" i="1"/>
  <c r="E10" i="1"/>
  <c r="C14" i="1"/>
  <c r="C10" i="1"/>
</calcChain>
</file>

<file path=xl/sharedStrings.xml><?xml version="1.0" encoding="utf-8"?>
<sst xmlns="http://schemas.openxmlformats.org/spreadsheetml/2006/main" count="374" uniqueCount="186">
  <si>
    <t>Calories</t>
  </si>
  <si>
    <t>Carbohydrates</t>
  </si>
  <si>
    <t>Sugars</t>
  </si>
  <si>
    <t>g</t>
  </si>
  <si>
    <t>Vit C</t>
  </si>
  <si>
    <t>mg</t>
  </si>
  <si>
    <t>Vit C (as ascorbic acid)</t>
  </si>
  <si>
    <t>Sodium</t>
  </si>
  <si>
    <t>Sodium (sodium bicarbonate, sodium carbonate)</t>
  </si>
  <si>
    <t>Potassium (potassium bicarbonate)</t>
  </si>
  <si>
    <t>Potassium / Sodium ratio</t>
  </si>
  <si>
    <t>Cost</t>
  </si>
  <si>
    <t>Cost/serving</t>
  </si>
  <si>
    <t>$</t>
  </si>
  <si>
    <t>Other stuff</t>
  </si>
  <si>
    <t>Magnesium</t>
  </si>
  <si>
    <t>Chloride</t>
  </si>
  <si>
    <t>Sulfate</t>
  </si>
  <si>
    <t>Serving (tablet, tsp, tsp)</t>
  </si>
  <si>
    <t>1/2</t>
  </si>
  <si>
    <t># of servings/container</t>
  </si>
  <si>
    <t>Zinc</t>
  </si>
  <si>
    <r>
      <rPr>
        <b/>
        <sz val="8"/>
        <color theme="1"/>
        <rFont val="Calibri"/>
        <family val="2"/>
        <scheme val="minor"/>
      </rPr>
      <t xml:space="preserve">Nuun </t>
    </r>
    <r>
      <rPr>
        <sz val="8"/>
        <color theme="1"/>
        <rFont val="Calibri"/>
        <family val="2"/>
        <scheme val="minor"/>
      </rPr>
      <t>Hydration: Electrolyte Drink Tablets</t>
    </r>
  </si>
  <si>
    <r>
      <rPr>
        <b/>
        <sz val="8"/>
        <color theme="1"/>
        <rFont val="Calibri"/>
        <family val="2"/>
        <scheme val="minor"/>
      </rPr>
      <t>LyteShow</t>
    </r>
    <r>
      <rPr>
        <sz val="8"/>
        <color theme="1"/>
        <rFont val="Calibri"/>
        <family val="2"/>
        <scheme val="minor"/>
      </rPr>
      <t xml:space="preserve"> (3 Bottles) - Electrolyte Concentrate for Rapid Rehydration - NO Sugars, NO Additives</t>
    </r>
  </si>
  <si>
    <r>
      <rPr>
        <b/>
        <sz val="8"/>
        <color theme="1"/>
        <rFont val="Calibri"/>
        <family val="2"/>
        <scheme val="minor"/>
      </rPr>
      <t>Trace Minerals Research</t>
    </r>
    <r>
      <rPr>
        <sz val="8"/>
        <color theme="1"/>
        <rFont val="Calibri"/>
        <family val="2"/>
        <scheme val="minor"/>
      </rPr>
      <t xml:space="preserve"> , Endure, Performance Electrolyte, 4-Ounce Bottle</t>
    </r>
  </si>
  <si>
    <t>NOW Sports Pea Protein Powder,2-Pound</t>
  </si>
  <si>
    <t>OK</t>
  </si>
  <si>
    <t>Total Fat</t>
  </si>
  <si>
    <t>Cholesterol</t>
  </si>
  <si>
    <t>Total carb</t>
  </si>
  <si>
    <t>Protein</t>
  </si>
  <si>
    <t>Calcium</t>
  </si>
  <si>
    <t>Iron</t>
  </si>
  <si>
    <t>L-Isoleucine</t>
  </si>
  <si>
    <t>L-Leucine</t>
  </si>
  <si>
    <t>L-Lysine</t>
  </si>
  <si>
    <t>L-Methionine</t>
  </si>
  <si>
    <t>L-Phenylanine</t>
  </si>
  <si>
    <t>L-Threonne</t>
  </si>
  <si>
    <t>L-Typtophan</t>
  </si>
  <si>
    <t>L-Valine</t>
  </si>
  <si>
    <t>BCAA - EAA</t>
  </si>
  <si>
    <t>BCAA - non EAA</t>
  </si>
  <si>
    <t>L-Alanine</t>
  </si>
  <si>
    <t>L-Arginine</t>
  </si>
  <si>
    <t>L-Aspartic Acid</t>
  </si>
  <si>
    <t>L-Cysteine</t>
  </si>
  <si>
    <t>L-Glutamic Acid</t>
  </si>
  <si>
    <t>Glycine</t>
  </si>
  <si>
    <t>L-Proline</t>
  </si>
  <si>
    <t>L-Serine</t>
  </si>
  <si>
    <t>L-Tyrosine</t>
  </si>
  <si>
    <t>Trader Joes Organic Pea Protein</t>
  </si>
  <si>
    <t>Serving Size - scoop</t>
  </si>
  <si>
    <t xml:space="preserve">Serving Size  </t>
  </si>
  <si>
    <t>GREAT</t>
  </si>
  <si>
    <t>Servings per container</t>
  </si>
  <si>
    <t xml:space="preserve"> </t>
  </si>
  <si>
    <t>units</t>
  </si>
  <si>
    <t>GOOD</t>
  </si>
  <si>
    <t>OK, twice as much</t>
  </si>
  <si>
    <t>YES, best deal</t>
  </si>
  <si>
    <t>NO, not enough stuff</t>
  </si>
  <si>
    <t>BodyTech BCAA Glutamine Supports Muscle Endurance, Growth Recovery with Essential Amino Acids</t>
  </si>
  <si>
    <t>$/serv</t>
  </si>
  <si>
    <t>YES, use</t>
  </si>
  <si>
    <t>Only for Flavor, not enough stuff &amp; expensive</t>
  </si>
  <si>
    <t>YES, but just BCAA, no protein</t>
  </si>
  <si>
    <t>min g protein</t>
  </si>
  <si>
    <t>max g protein</t>
  </si>
  <si>
    <t>Mixes - how well?</t>
  </si>
  <si>
    <r>
      <t>OK, Protein,</t>
    </r>
    <r>
      <rPr>
        <b/>
        <sz val="8"/>
        <color theme="1"/>
        <rFont val="Calibri"/>
        <family val="2"/>
        <scheme val="minor"/>
      </rPr>
      <t xml:space="preserve"> NO BCAA</t>
    </r>
  </si>
  <si>
    <t xml:space="preserve">VEGA Organic Protein &amp; Greens    </t>
  </si>
  <si>
    <t>Summary</t>
  </si>
  <si>
    <t>How well mix?</t>
  </si>
  <si>
    <t>Composition</t>
  </si>
  <si>
    <t>Cost - Dollars/Serving</t>
  </si>
  <si>
    <t>Protein + BCAA</t>
  </si>
  <si>
    <t>Opinion</t>
  </si>
  <si>
    <t>Best deal</t>
  </si>
  <si>
    <t>Good deal</t>
  </si>
  <si>
    <t>Expensive</t>
  </si>
  <si>
    <t>BCAA only</t>
  </si>
  <si>
    <t>Supplement</t>
  </si>
  <si>
    <r>
      <t xml:space="preserve">OK, Protein + Vitamins, </t>
    </r>
    <r>
      <rPr>
        <b/>
        <sz val="8"/>
        <color theme="1"/>
        <rFont val="Calibri"/>
        <family val="2"/>
        <scheme val="minor"/>
      </rPr>
      <t>NO BCAA</t>
    </r>
  </si>
  <si>
    <t>wt. lb.</t>
  </si>
  <si>
    <t>wt. kg</t>
  </si>
  <si>
    <t>Potassium</t>
  </si>
  <si>
    <t>L-Histidine</t>
  </si>
  <si>
    <t>Protein + Vitamins, NO BCAA</t>
  </si>
  <si>
    <t>Protein only</t>
  </si>
  <si>
    <t>Arbonne Vanilla Protein Shake Mix (Powder) #2070</t>
  </si>
  <si>
    <t>The Myers Way Paleo Protein</t>
  </si>
  <si>
    <t>All pricing from Amazon except Trader Joes &amp; Arbonne, timing ~ 5/2020</t>
  </si>
  <si>
    <t>Notes:</t>
  </si>
  <si>
    <t>per week</t>
  </si>
  <si>
    <t>7 beats =</t>
  </si>
  <si>
    <t>weeks</t>
  </si>
  <si>
    <t>cost saving</t>
  </si>
  <si>
    <t>Pea Protein Powder</t>
  </si>
  <si>
    <t>Vanilla Extract</t>
  </si>
  <si>
    <t>Eggs</t>
  </si>
  <si>
    <t>Number</t>
  </si>
  <si>
    <t>Units</t>
  </si>
  <si>
    <t>tsp</t>
  </si>
  <si>
    <t>Coconut Milk</t>
  </si>
  <si>
    <t>cup</t>
  </si>
  <si>
    <t>Brown sugar</t>
  </si>
  <si>
    <t>scoop (33 g)</t>
  </si>
  <si>
    <t>(grams)</t>
  </si>
  <si>
    <t>Glutenous Rice Flour</t>
  </si>
  <si>
    <t>50 g/large</t>
  </si>
  <si>
    <t>Per square (16 squares total)</t>
  </si>
  <si>
    <t xml:space="preserve"> eating two squares per sitting</t>
  </si>
  <si>
    <t>AMZN $35.88/12 pack 32 oz each</t>
  </si>
  <si>
    <t>AMZN $5.35/16 oz</t>
  </si>
  <si>
    <t>AMZN $29.20 / 12 pack</t>
  </si>
  <si>
    <t>Cliffbar (2.4 oz per bar)</t>
  </si>
  <si>
    <t>AMZN $24.52 / 12 pack</t>
  </si>
  <si>
    <t>AMZN $18.37</t>
  </si>
  <si>
    <t>AMZN $9.46 for two 16 oz</t>
  </si>
  <si>
    <t>RXBAR (1.8 oz per bar)</t>
  </si>
  <si>
    <t>Chocolate Chips</t>
  </si>
  <si>
    <t>AMZN $5.29/</t>
  </si>
  <si>
    <t>Taste</t>
  </si>
  <si>
    <t>Good</t>
  </si>
  <si>
    <t>OK, very hard</t>
  </si>
  <si>
    <t>hrs/wk</t>
  </si>
  <si>
    <t>rpm / hr</t>
  </si>
  <si>
    <t>wks / year</t>
  </si>
  <si>
    <t>Damage</t>
  </si>
  <si>
    <t>Aldi's $0.79/dozen</t>
  </si>
  <si>
    <t>AMZN $2/fluid oz  = ~ $0.33 / tsp</t>
  </si>
  <si>
    <t>input</t>
  </si>
  <si>
    <t>Total for two 6 X 9  pans</t>
  </si>
  <si>
    <t>Weight</t>
  </si>
  <si>
    <t>(oz)</t>
  </si>
  <si>
    <t>weight</t>
  </si>
  <si>
    <t>Protein (g)</t>
  </si>
  <si>
    <t>Carbohydrate (g)</t>
  </si>
  <si>
    <t>Fat (g)</t>
  </si>
  <si>
    <t>Variation Studies</t>
  </si>
  <si>
    <t>Cost ($)</t>
  </si>
  <si>
    <t>(US dollars)</t>
  </si>
  <si>
    <r>
      <t xml:space="preserve">+ 2 scoops protein powder </t>
    </r>
    <r>
      <rPr>
        <sz val="9"/>
        <color theme="1"/>
        <rFont val="Calibri"/>
        <family val="2"/>
        <scheme val="minor"/>
      </rPr>
      <t>( 2 to 4 sc)</t>
    </r>
  </si>
  <si>
    <r>
      <t xml:space="preserve">+ 4 eggs </t>
    </r>
    <r>
      <rPr>
        <sz val="10"/>
        <color theme="1"/>
        <rFont val="Calibri"/>
        <family val="2"/>
        <scheme val="minor"/>
      </rPr>
      <t>(from 8 to 12 total)</t>
    </r>
  </si>
  <si>
    <r>
      <t xml:space="preserve">- NO choc chips </t>
    </r>
    <r>
      <rPr>
        <sz val="10"/>
        <color theme="1"/>
        <rFont val="Calibri"/>
        <family val="2"/>
        <scheme val="minor"/>
      </rPr>
      <t>(1/4 cup to zero)</t>
    </r>
  </si>
  <si>
    <t>- 1/4 C sugar (1/2 to 1/4 C)</t>
  </si>
  <si>
    <t>RXBAR</t>
  </si>
  <si>
    <t>Cliffbar</t>
  </si>
  <si>
    <t>Home made bars - Base (~ 2 bars)</t>
  </si>
  <si>
    <t>taste</t>
  </si>
  <si>
    <t>total Revolutions Per Year</t>
  </si>
  <si>
    <t>BASE BUILDING</t>
  </si>
  <si>
    <t>Week1</t>
  </si>
  <si>
    <t>Mon</t>
  </si>
  <si>
    <t>Tue</t>
  </si>
  <si>
    <t>Wed</t>
  </si>
  <si>
    <t>Thu</t>
  </si>
  <si>
    <t>Fri</t>
  </si>
  <si>
    <t>Sat</t>
  </si>
  <si>
    <t>Sun</t>
  </si>
  <si>
    <t>OFF</t>
  </si>
  <si>
    <t xml:space="preserve"> 120 min</t>
  </si>
  <si>
    <t>Zone: 2</t>
  </si>
  <si>
    <t xml:space="preserve"> 180 min</t>
  </si>
  <si>
    <t xml:space="preserve"> 240 min</t>
  </si>
  <si>
    <t>Total</t>
  </si>
  <si>
    <t>Week2</t>
  </si>
  <si>
    <t xml:space="preserve"> 210 min</t>
  </si>
  <si>
    <t>% increase</t>
  </si>
  <si>
    <t xml:space="preserve"> 270 min</t>
  </si>
  <si>
    <t>Zone:</t>
  </si>
  <si>
    <t>% decrease</t>
  </si>
  <si>
    <t>Adding speed</t>
  </si>
  <si>
    <t>Included interval</t>
  </si>
  <si>
    <t>Zone: 4</t>
  </si>
  <si>
    <t>6 reps X 5 min w 1 min rest</t>
  </si>
  <si>
    <t>8 reps X 5 min w 1 min rest</t>
  </si>
  <si>
    <t>10 reps X 30s on hills</t>
  </si>
  <si>
    <t>Zone: 7</t>
  </si>
  <si>
    <t xml:space="preserve"> 150 min</t>
  </si>
  <si>
    <t>Rest week</t>
  </si>
  <si>
    <t xml:space="preserve">Intervals </t>
  </si>
  <si>
    <t>%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</si>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</sst>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" fontId="0" fillId="0" borderId="1" xfId="0" quotePrefix="1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12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 wrapText="1"/>
    </xf>
    <xf numFmtId="164" fontId="7" fillId="8" borderId="16" xfId="0" applyNumberFormat="1" applyFont="1" applyFill="1" applyBorder="1" applyAlignment="1">
      <alignment horizontal="center" vertical="center"/>
    </xf>
    <xf numFmtId="164" fontId="7" fillId="8" borderId="21" xfId="0" applyNumberFormat="1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0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8" borderId="26" xfId="0" applyFont="1" applyFill="1" applyBorder="1" applyAlignment="1">
      <alignment vertical="center"/>
    </xf>
    <xf numFmtId="0" fontId="5" fillId="8" borderId="27" xfId="0" applyFont="1" applyFill="1" applyBorder="1" applyAlignment="1">
      <alignment horizontal="center" vertical="center"/>
    </xf>
    <xf numFmtId="1" fontId="5" fillId="8" borderId="27" xfId="0" applyNumberFormat="1" applyFont="1" applyFill="1" applyBorder="1" applyAlignment="1">
      <alignment horizontal="center" vertical="center"/>
    </xf>
    <xf numFmtId="1" fontId="5" fillId="8" borderId="28" xfId="0" applyNumberFormat="1" applyFont="1" applyFill="1" applyBorder="1" applyAlignment="1">
      <alignment horizontal="center" vertical="center"/>
    </xf>
    <xf numFmtId="1" fontId="5" fillId="8" borderId="25" xfId="0" applyNumberFormat="1" applyFont="1" applyFill="1" applyBorder="1" applyAlignment="1">
      <alignment horizontal="center" vertical="center"/>
    </xf>
    <xf numFmtId="2" fontId="5" fillId="8" borderId="25" xfId="0" applyNumberFormat="1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vertical="center"/>
    </xf>
    <xf numFmtId="164" fontId="0" fillId="8" borderId="0" xfId="0" applyNumberFormat="1" applyFill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1" fontId="0" fillId="8" borderId="0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8" borderId="30" xfId="0" applyFill="1" applyBorder="1" applyAlignment="1">
      <alignment horizontal="center" vertical="center"/>
    </xf>
    <xf numFmtId="0" fontId="0" fillId="8" borderId="9" xfId="0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8" fillId="9" borderId="14" xfId="0" applyFont="1" applyFill="1" applyBorder="1" applyAlignment="1">
      <alignment vertical="center"/>
    </xf>
    <xf numFmtId="0" fontId="0" fillId="8" borderId="6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2" fontId="0" fillId="8" borderId="14" xfId="0" applyNumberFormat="1" applyFont="1" applyFill="1" applyBorder="1" applyAlignment="1">
      <alignment horizontal="center" vertical="center"/>
    </xf>
    <xf numFmtId="164" fontId="5" fillId="8" borderId="25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8" borderId="13" xfId="0" applyFont="1" applyFill="1" applyBorder="1" applyAlignment="1">
      <alignment vertical="center"/>
    </xf>
    <xf numFmtId="2" fontId="0" fillId="8" borderId="6" xfId="0" applyNumberFormat="1" applyFill="1" applyBorder="1" applyAlignment="1">
      <alignment horizontal="center" vertical="center"/>
    </xf>
    <xf numFmtId="0" fontId="0" fillId="8" borderId="14" xfId="0" quotePrefix="1" applyFill="1" applyBorder="1" applyAlignment="1">
      <alignment vertical="center"/>
    </xf>
    <xf numFmtId="0" fontId="0" fillId="8" borderId="15" xfId="0" quotePrefix="1" applyFill="1" applyBorder="1" applyAlignment="1">
      <alignment vertical="center"/>
    </xf>
    <xf numFmtId="2" fontId="0" fillId="8" borderId="9" xfId="0" applyNumberForma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2" fontId="5" fillId="8" borderId="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0" xfId="0" applyBorder="1" applyAlignment="1">
      <alignment vertical="center"/>
    </xf>
    <xf numFmtId="165" fontId="0" fillId="0" borderId="9" xfId="2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10" borderId="30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3" fillId="10" borderId="0" xfId="0" applyFont="1" applyFill="1" applyBorder="1" applyAlignment="1">
      <alignment horizontal="center" vertical="center"/>
    </xf>
    <xf numFmtId="9" fontId="0" fillId="0" borderId="30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8" borderId="13" xfId="0" applyFill="1" applyBorder="1" applyAlignment="1">
      <alignment vertical="center"/>
    </xf>
    <xf numFmtId="0" fontId="0" fillId="8" borderId="29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25" xfId="0" applyFill="1" applyBorder="1" applyAlignment="1">
      <alignment horizontal="center" vertical="center"/>
    </xf>
    <xf numFmtId="164" fontId="0" fillId="8" borderId="25" xfId="0" applyNumberFormat="1" applyFill="1" applyBorder="1" applyAlignment="1">
      <alignment horizontal="center" vertical="center"/>
    </xf>
    <xf numFmtId="0" fontId="0" fillId="8" borderId="30" xfId="0" applyFill="1" applyBorder="1" applyAlignment="1">
      <alignment vertical="center"/>
    </xf>
    <xf numFmtId="9" fontId="0" fillId="8" borderId="0" xfId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9" fontId="0" fillId="8" borderId="30" xfId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0DEE-9934-4CD2-9387-CAA4286AB829}">
  <dimension ref="B1:F21"/>
  <sheetViews>
    <sheetView zoomScale="90" zoomScaleNormal="90" workbookViewId="0">
      <selection activeCell="A2" sqref="A2"/>
    </sheetView>
  </sheetViews>
  <sheetFormatPr defaultRowHeight="15" x14ac:dyDescent="0.25"/>
  <cols>
    <col min="1" max="1" width="3" style="1" customWidth="1"/>
    <col min="2" max="2" width="38.5703125" style="1" bestFit="1" customWidth="1"/>
    <col min="3" max="5" width="14.42578125" style="1" customWidth="1"/>
    <col min="6" max="6" width="5.5703125" style="2" bestFit="1" customWidth="1"/>
    <col min="7" max="16384" width="9.140625" style="1"/>
  </cols>
  <sheetData>
    <row r="1" spans="2:6" ht="15.75" thickBot="1" x14ac:dyDescent="0.3"/>
    <row r="2" spans="2:6" ht="78.75" x14ac:dyDescent="0.25">
      <c r="B2" s="7"/>
      <c r="C2" s="8" t="s">
        <v>22</v>
      </c>
      <c r="D2" s="8" t="s">
        <v>23</v>
      </c>
      <c r="E2" s="8" t="s">
        <v>24</v>
      </c>
      <c r="F2" s="9"/>
    </row>
    <row r="3" spans="2:6" ht="40.5" customHeight="1" x14ac:dyDescent="0.25">
      <c r="B3" s="10"/>
      <c r="C3" s="27" t="s">
        <v>66</v>
      </c>
      <c r="D3" s="28" t="s">
        <v>65</v>
      </c>
      <c r="E3" s="28" t="s">
        <v>65</v>
      </c>
      <c r="F3" s="11"/>
    </row>
    <row r="4" spans="2:6" x14ac:dyDescent="0.25">
      <c r="B4" s="10" t="s">
        <v>18</v>
      </c>
      <c r="C4" s="3">
        <v>1</v>
      </c>
      <c r="D4" s="3">
        <v>0.6</v>
      </c>
      <c r="E4" s="6" t="s">
        <v>19</v>
      </c>
      <c r="F4" s="11"/>
    </row>
    <row r="5" spans="2:6" x14ac:dyDescent="0.25">
      <c r="B5" s="10" t="s">
        <v>0</v>
      </c>
      <c r="C5" s="3">
        <v>10</v>
      </c>
      <c r="D5" s="3">
        <v>0</v>
      </c>
      <c r="E5" s="3">
        <v>0</v>
      </c>
      <c r="F5" s="11"/>
    </row>
    <row r="6" spans="2:6" x14ac:dyDescent="0.25">
      <c r="B6" s="10" t="s">
        <v>1</v>
      </c>
      <c r="C6" s="3">
        <v>4</v>
      </c>
      <c r="D6" s="3">
        <v>0</v>
      </c>
      <c r="E6" s="3">
        <v>0</v>
      </c>
      <c r="F6" s="11" t="s">
        <v>3</v>
      </c>
    </row>
    <row r="7" spans="2:6" x14ac:dyDescent="0.25">
      <c r="B7" s="10" t="s">
        <v>2</v>
      </c>
      <c r="C7" s="3">
        <v>1</v>
      </c>
      <c r="D7" s="3">
        <v>0</v>
      </c>
      <c r="E7" s="3">
        <v>0</v>
      </c>
      <c r="F7" s="11" t="s">
        <v>3</v>
      </c>
    </row>
    <row r="8" spans="2:6" x14ac:dyDescent="0.25">
      <c r="B8" s="10" t="s">
        <v>8</v>
      </c>
      <c r="C8" s="3">
        <v>360</v>
      </c>
      <c r="D8" s="3">
        <v>125</v>
      </c>
      <c r="E8" s="3">
        <v>125</v>
      </c>
      <c r="F8" s="11" t="s">
        <v>5</v>
      </c>
    </row>
    <row r="9" spans="2:6" x14ac:dyDescent="0.25">
      <c r="B9" s="10" t="s">
        <v>9</v>
      </c>
      <c r="C9" s="3">
        <v>100</v>
      </c>
      <c r="D9" s="3">
        <v>130</v>
      </c>
      <c r="E9" s="3">
        <v>150</v>
      </c>
      <c r="F9" s="11" t="s">
        <v>5</v>
      </c>
    </row>
    <row r="10" spans="2:6" ht="18.75" x14ac:dyDescent="0.25">
      <c r="B10" s="12" t="s">
        <v>10</v>
      </c>
      <c r="C10" s="4">
        <f>C9/C8</f>
        <v>0.27777777777777779</v>
      </c>
      <c r="D10" s="4">
        <f>D9/D8</f>
        <v>1.04</v>
      </c>
      <c r="E10" s="4">
        <f>E9/E8</f>
        <v>1.2</v>
      </c>
      <c r="F10" s="11"/>
    </row>
    <row r="11" spans="2:6" x14ac:dyDescent="0.25">
      <c r="B11" s="10"/>
      <c r="C11" s="3"/>
      <c r="D11" s="3"/>
      <c r="E11" s="3"/>
      <c r="F11" s="11"/>
    </row>
    <row r="12" spans="2:6" x14ac:dyDescent="0.25">
      <c r="B12" s="10" t="s">
        <v>11</v>
      </c>
      <c r="C12" s="3">
        <v>18.989999999999998</v>
      </c>
      <c r="D12" s="3">
        <v>42.09</v>
      </c>
      <c r="E12" s="3">
        <v>14.29</v>
      </c>
      <c r="F12" s="11" t="s">
        <v>13</v>
      </c>
    </row>
    <row r="13" spans="2:6" x14ac:dyDescent="0.25">
      <c r="B13" s="10" t="s">
        <v>20</v>
      </c>
      <c r="C13" s="3">
        <v>40</v>
      </c>
      <c r="D13" s="3">
        <f>40*3</f>
        <v>120</v>
      </c>
      <c r="E13" s="3">
        <v>48</v>
      </c>
      <c r="F13" s="11"/>
    </row>
    <row r="14" spans="2:6" x14ac:dyDescent="0.25">
      <c r="B14" s="10" t="s">
        <v>12</v>
      </c>
      <c r="C14" s="5">
        <f>C12/C13</f>
        <v>0.47474999999999995</v>
      </c>
      <c r="D14" s="5">
        <f>D12/D13</f>
        <v>0.35075000000000001</v>
      </c>
      <c r="E14" s="5">
        <f>E12/E13</f>
        <v>0.2977083333333333</v>
      </c>
      <c r="F14" s="26" t="s">
        <v>64</v>
      </c>
    </row>
    <row r="15" spans="2:6" x14ac:dyDescent="0.25">
      <c r="B15" s="10"/>
      <c r="C15" s="3"/>
      <c r="D15" s="3"/>
      <c r="E15" s="3"/>
      <c r="F15" s="11"/>
    </row>
    <row r="16" spans="2:6" x14ac:dyDescent="0.25">
      <c r="B16" s="10" t="s">
        <v>14</v>
      </c>
      <c r="C16" s="3"/>
      <c r="D16" s="3"/>
      <c r="E16" s="3"/>
      <c r="F16" s="11"/>
    </row>
    <row r="17" spans="2:6" x14ac:dyDescent="0.25">
      <c r="B17" s="10" t="s">
        <v>6</v>
      </c>
      <c r="C17" s="3">
        <v>38</v>
      </c>
      <c r="D17" s="3">
        <v>0</v>
      </c>
      <c r="E17" s="3">
        <v>0</v>
      </c>
      <c r="F17" s="11" t="s">
        <v>5</v>
      </c>
    </row>
    <row r="18" spans="2:6" x14ac:dyDescent="0.25">
      <c r="B18" s="10" t="s">
        <v>15</v>
      </c>
      <c r="C18" s="3">
        <v>0</v>
      </c>
      <c r="D18" s="3">
        <v>40</v>
      </c>
      <c r="E18" s="3">
        <v>45</v>
      </c>
      <c r="F18" s="11" t="s">
        <v>5</v>
      </c>
    </row>
    <row r="19" spans="2:6" x14ac:dyDescent="0.25">
      <c r="B19" s="10" t="s">
        <v>16</v>
      </c>
      <c r="C19" s="3">
        <v>0</v>
      </c>
      <c r="D19" s="3">
        <v>390</v>
      </c>
      <c r="E19" s="3">
        <v>390</v>
      </c>
      <c r="F19" s="11" t="s">
        <v>5</v>
      </c>
    </row>
    <row r="20" spans="2:6" x14ac:dyDescent="0.25">
      <c r="B20" s="10" t="s">
        <v>17</v>
      </c>
      <c r="C20" s="3">
        <v>0</v>
      </c>
      <c r="D20" s="3">
        <v>20</v>
      </c>
      <c r="E20" s="3">
        <v>20</v>
      </c>
      <c r="F20" s="11"/>
    </row>
    <row r="21" spans="2:6" ht="15.75" thickBot="1" x14ac:dyDescent="0.3">
      <c r="B21" s="13" t="s">
        <v>21</v>
      </c>
      <c r="C21" s="14">
        <v>0</v>
      </c>
      <c r="D21" s="14">
        <v>2</v>
      </c>
      <c r="E21" s="14">
        <v>0</v>
      </c>
      <c r="F21" s="15" t="s">
        <v>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8B6C-0FAF-46A7-AD04-98634DC86B09}">
  <dimension ref="B1:Q49"/>
  <sheetViews>
    <sheetView topLeftCell="A42" workbookViewId="0">
      <selection activeCell="A42" sqref="A42"/>
    </sheetView>
  </sheetViews>
  <sheetFormatPr defaultRowHeight="15" x14ac:dyDescent="0.25"/>
  <cols>
    <col min="1" max="1" width="4" style="1" customWidth="1"/>
    <col min="2" max="2" width="20.28515625" style="1" bestFit="1" customWidth="1"/>
    <col min="3" max="8" width="12.28515625" style="1" customWidth="1"/>
    <col min="9" max="9" width="9.28515625" style="2" bestFit="1" customWidth="1"/>
    <col min="10" max="16384" width="9.140625" style="1"/>
  </cols>
  <sheetData>
    <row r="1" spans="2:17" ht="120" x14ac:dyDescent="0.25">
      <c r="B1" s="21"/>
      <c r="C1" s="37" t="s">
        <v>25</v>
      </c>
      <c r="D1" s="37" t="s">
        <v>52</v>
      </c>
      <c r="E1" s="37" t="s">
        <v>72</v>
      </c>
      <c r="F1" s="37" t="s">
        <v>63</v>
      </c>
      <c r="G1" s="37" t="s">
        <v>91</v>
      </c>
      <c r="H1" s="29" t="s">
        <v>92</v>
      </c>
      <c r="I1" s="29" t="s">
        <v>58</v>
      </c>
      <c r="K1" s="1">
        <v>145</v>
      </c>
      <c r="L1" s="1">
        <v>2.2000000000000002</v>
      </c>
      <c r="M1" s="34">
        <f>K1/L1</f>
        <v>65.909090909090907</v>
      </c>
      <c r="N1" s="1">
        <v>1.5</v>
      </c>
      <c r="O1" s="34">
        <f>M1*N1</f>
        <v>98.86363636363636</v>
      </c>
      <c r="P1" s="1">
        <v>3</v>
      </c>
      <c r="Q1" s="34">
        <f>M1*P1</f>
        <v>197.72727272727272</v>
      </c>
    </row>
    <row r="2" spans="2:17" ht="33.75" x14ac:dyDescent="0.25">
      <c r="B2" s="22"/>
      <c r="C2" s="16" t="s">
        <v>61</v>
      </c>
      <c r="D2" s="19" t="s">
        <v>60</v>
      </c>
      <c r="E2" s="20" t="s">
        <v>62</v>
      </c>
      <c r="F2" s="19" t="s">
        <v>67</v>
      </c>
      <c r="G2" s="30" t="s">
        <v>84</v>
      </c>
      <c r="H2" s="38" t="s">
        <v>71</v>
      </c>
      <c r="I2" s="11"/>
      <c r="K2" s="1" t="s">
        <v>85</v>
      </c>
      <c r="L2" s="1" t="s">
        <v>57</v>
      </c>
      <c r="M2" s="1" t="s">
        <v>86</v>
      </c>
      <c r="O2" s="1" t="s">
        <v>68</v>
      </c>
      <c r="Q2" s="1" t="s">
        <v>69</v>
      </c>
    </row>
    <row r="3" spans="2:17" x14ac:dyDescent="0.25">
      <c r="B3" s="22" t="s">
        <v>53</v>
      </c>
      <c r="C3" s="17">
        <v>1</v>
      </c>
      <c r="D3" s="17">
        <v>2</v>
      </c>
      <c r="E3" s="17">
        <v>1</v>
      </c>
      <c r="F3" s="17">
        <v>1</v>
      </c>
      <c r="G3" s="17">
        <v>2</v>
      </c>
      <c r="H3" s="24">
        <v>1</v>
      </c>
      <c r="I3" s="11"/>
    </row>
    <row r="4" spans="2:17" x14ac:dyDescent="0.25">
      <c r="B4" s="22" t="s">
        <v>54</v>
      </c>
      <c r="C4" s="17">
        <v>33</v>
      </c>
      <c r="D4" s="17">
        <v>26</v>
      </c>
      <c r="E4" s="17">
        <v>38</v>
      </c>
      <c r="F4" s="17">
        <v>6.9</v>
      </c>
      <c r="G4" s="17">
        <v>40</v>
      </c>
      <c r="H4" s="24">
        <v>27</v>
      </c>
      <c r="I4" s="11" t="s">
        <v>3</v>
      </c>
    </row>
    <row r="5" spans="2:17" x14ac:dyDescent="0.25">
      <c r="B5" s="22" t="s">
        <v>70</v>
      </c>
      <c r="C5" s="18" t="s">
        <v>26</v>
      </c>
      <c r="D5" s="18" t="s">
        <v>55</v>
      </c>
      <c r="E5" s="18" t="s">
        <v>59</v>
      </c>
      <c r="F5" s="18" t="s">
        <v>59</v>
      </c>
      <c r="G5" s="18" t="s">
        <v>59</v>
      </c>
      <c r="H5" s="36" t="s">
        <v>26</v>
      </c>
      <c r="I5" s="11"/>
    </row>
    <row r="6" spans="2:17" x14ac:dyDescent="0.25">
      <c r="B6" s="22" t="s">
        <v>0</v>
      </c>
      <c r="C6" s="17">
        <v>120</v>
      </c>
      <c r="D6" s="17">
        <v>100</v>
      </c>
      <c r="E6" s="17">
        <v>150</v>
      </c>
      <c r="F6" s="17">
        <v>0</v>
      </c>
      <c r="G6" s="17">
        <v>160</v>
      </c>
      <c r="H6" s="24">
        <v>110</v>
      </c>
      <c r="I6" s="11"/>
    </row>
    <row r="7" spans="2:17" x14ac:dyDescent="0.25">
      <c r="B7" s="22" t="s">
        <v>27</v>
      </c>
      <c r="C7" s="17">
        <v>2</v>
      </c>
      <c r="D7" s="17">
        <v>2</v>
      </c>
      <c r="E7" s="17">
        <v>3</v>
      </c>
      <c r="F7" s="17">
        <v>0</v>
      </c>
      <c r="G7" s="17">
        <v>3</v>
      </c>
      <c r="H7" s="24">
        <v>0.5</v>
      </c>
      <c r="I7" s="11" t="s">
        <v>3</v>
      </c>
    </row>
    <row r="8" spans="2:17" x14ac:dyDescent="0.25">
      <c r="B8" s="22" t="s">
        <v>28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24">
        <v>0.5</v>
      </c>
      <c r="I8" s="11" t="s">
        <v>5</v>
      </c>
    </row>
    <row r="9" spans="2:17" x14ac:dyDescent="0.25">
      <c r="B9" s="22" t="s">
        <v>7</v>
      </c>
      <c r="C9" s="17">
        <v>330</v>
      </c>
      <c r="D9" s="17">
        <v>360</v>
      </c>
      <c r="E9" s="17">
        <v>320</v>
      </c>
      <c r="F9" s="17">
        <v>0</v>
      </c>
      <c r="G9" s="17">
        <v>420</v>
      </c>
      <c r="H9" s="24">
        <v>150</v>
      </c>
      <c r="I9" s="11" t="s">
        <v>5</v>
      </c>
    </row>
    <row r="10" spans="2:17" x14ac:dyDescent="0.25">
      <c r="B10" s="22" t="s">
        <v>29</v>
      </c>
      <c r="C10" s="17">
        <v>1</v>
      </c>
      <c r="D10" s="17">
        <v>1</v>
      </c>
      <c r="E10" s="17">
        <v>11</v>
      </c>
      <c r="F10" s="17">
        <v>0</v>
      </c>
      <c r="G10" s="17">
        <v>13</v>
      </c>
      <c r="H10" s="24">
        <v>3</v>
      </c>
      <c r="I10" s="11" t="s">
        <v>3</v>
      </c>
    </row>
    <row r="11" spans="2:17" x14ac:dyDescent="0.25">
      <c r="B11" s="22" t="s">
        <v>30</v>
      </c>
      <c r="C11" s="17">
        <v>24</v>
      </c>
      <c r="D11" s="17">
        <v>20</v>
      </c>
      <c r="E11" s="17">
        <v>21</v>
      </c>
      <c r="F11" s="17">
        <v>0</v>
      </c>
      <c r="G11" s="17">
        <v>20</v>
      </c>
      <c r="H11" s="24">
        <v>21</v>
      </c>
      <c r="I11" s="11" t="s">
        <v>3</v>
      </c>
    </row>
    <row r="12" spans="2:17" x14ac:dyDescent="0.25">
      <c r="B12" s="22" t="s">
        <v>31</v>
      </c>
      <c r="C12" s="17">
        <v>43</v>
      </c>
      <c r="D12" s="17">
        <v>0</v>
      </c>
      <c r="E12" s="17">
        <v>0</v>
      </c>
      <c r="F12" s="17">
        <v>0</v>
      </c>
      <c r="G12" s="17">
        <v>153</v>
      </c>
      <c r="H12" s="24">
        <v>0</v>
      </c>
      <c r="I12" s="11" t="s">
        <v>5</v>
      </c>
    </row>
    <row r="13" spans="2:17" x14ac:dyDescent="0.25">
      <c r="B13" s="22" t="s">
        <v>32</v>
      </c>
      <c r="C13" s="17">
        <v>8</v>
      </c>
      <c r="D13" s="17">
        <v>5</v>
      </c>
      <c r="E13" s="17">
        <v>40</v>
      </c>
      <c r="F13" s="17">
        <v>0</v>
      </c>
      <c r="G13" s="17">
        <v>4</v>
      </c>
      <c r="H13" s="24">
        <v>2</v>
      </c>
      <c r="I13" s="11" t="s">
        <v>5</v>
      </c>
    </row>
    <row r="14" spans="2:17" x14ac:dyDescent="0.25">
      <c r="B14" s="22" t="s">
        <v>87</v>
      </c>
      <c r="C14" s="17">
        <v>83</v>
      </c>
      <c r="D14" s="17">
        <v>0</v>
      </c>
      <c r="E14" s="17">
        <v>0</v>
      </c>
      <c r="F14" s="17">
        <v>0</v>
      </c>
      <c r="G14" s="17">
        <v>200</v>
      </c>
      <c r="H14" s="24">
        <v>391</v>
      </c>
      <c r="I14" s="11" t="s">
        <v>5</v>
      </c>
    </row>
    <row r="15" spans="2:17" x14ac:dyDescent="0.25">
      <c r="B15" s="22" t="s">
        <v>41</v>
      </c>
      <c r="C15" s="17"/>
      <c r="D15" s="17"/>
      <c r="E15" s="17"/>
      <c r="F15" s="17" t="s">
        <v>57</v>
      </c>
      <c r="G15" s="17">
        <v>0</v>
      </c>
      <c r="H15" s="24"/>
      <c r="I15" s="11" t="s">
        <v>5</v>
      </c>
    </row>
    <row r="16" spans="2:17" x14ac:dyDescent="0.25">
      <c r="B16" s="22" t="s">
        <v>88</v>
      </c>
      <c r="C16" s="17">
        <v>590</v>
      </c>
      <c r="D16" s="17">
        <v>437</v>
      </c>
      <c r="E16" s="17">
        <v>0</v>
      </c>
      <c r="F16" s="17">
        <v>0</v>
      </c>
      <c r="G16" s="17"/>
      <c r="H16" s="24"/>
      <c r="I16" s="11"/>
    </row>
    <row r="17" spans="2:9" x14ac:dyDescent="0.25">
      <c r="B17" s="22" t="s">
        <v>33</v>
      </c>
      <c r="C17" s="17">
        <v>1094</v>
      </c>
      <c r="D17" s="17">
        <v>936</v>
      </c>
      <c r="E17" s="17">
        <v>0</v>
      </c>
      <c r="F17" s="17">
        <v>1000</v>
      </c>
      <c r="G17" s="17"/>
      <c r="H17" s="24"/>
      <c r="I17" s="11"/>
    </row>
    <row r="18" spans="2:9" ht="15.75" x14ac:dyDescent="0.25">
      <c r="B18" s="23" t="s">
        <v>34</v>
      </c>
      <c r="C18" s="17">
        <v>2009</v>
      </c>
      <c r="D18" s="17">
        <v>1654</v>
      </c>
      <c r="E18" s="17">
        <v>2000</v>
      </c>
      <c r="F18" s="17">
        <v>2000</v>
      </c>
      <c r="G18" s="17"/>
      <c r="H18" s="24"/>
      <c r="I18" s="11"/>
    </row>
    <row r="19" spans="2:9" x14ac:dyDescent="0.25">
      <c r="B19" s="22" t="s">
        <v>35</v>
      </c>
      <c r="C19" s="17">
        <v>1798</v>
      </c>
      <c r="D19" s="17">
        <v>1401</v>
      </c>
      <c r="E19" s="17">
        <v>1000</v>
      </c>
      <c r="F19" s="17">
        <v>0</v>
      </c>
      <c r="G19" s="17"/>
      <c r="H19" s="24"/>
      <c r="I19" s="11"/>
    </row>
    <row r="20" spans="2:9" x14ac:dyDescent="0.25">
      <c r="B20" s="22" t="s">
        <v>36</v>
      </c>
      <c r="C20" s="17">
        <v>211</v>
      </c>
      <c r="D20" s="17">
        <v>192</v>
      </c>
      <c r="E20" s="17">
        <v>0</v>
      </c>
      <c r="F20" s="17">
        <v>0</v>
      </c>
      <c r="G20" s="17"/>
      <c r="H20" s="24"/>
      <c r="I20" s="11"/>
    </row>
    <row r="21" spans="2:9" x14ac:dyDescent="0.25">
      <c r="B21" s="22" t="s">
        <v>37</v>
      </c>
      <c r="C21" s="17">
        <v>1322</v>
      </c>
      <c r="D21" s="17">
        <v>1063</v>
      </c>
      <c r="E21" s="17">
        <v>0</v>
      </c>
      <c r="F21" s="17">
        <v>0</v>
      </c>
      <c r="G21" s="17"/>
      <c r="H21" s="24"/>
      <c r="I21" s="11"/>
    </row>
    <row r="22" spans="2:9" x14ac:dyDescent="0.25">
      <c r="B22" s="22" t="s">
        <v>38</v>
      </c>
      <c r="C22" s="17">
        <v>936</v>
      </c>
      <c r="D22" s="17">
        <v>686</v>
      </c>
      <c r="E22" s="17">
        <v>0</v>
      </c>
      <c r="F22" s="17">
        <v>0</v>
      </c>
      <c r="G22" s="17"/>
      <c r="H22" s="24"/>
      <c r="I22" s="11"/>
    </row>
    <row r="23" spans="2:9" x14ac:dyDescent="0.25">
      <c r="B23" s="22" t="s">
        <v>39</v>
      </c>
      <c r="C23" s="17">
        <v>211</v>
      </c>
      <c r="D23" s="17">
        <v>171</v>
      </c>
      <c r="E23" s="17">
        <v>0</v>
      </c>
      <c r="F23" s="17">
        <v>0</v>
      </c>
      <c r="G23" s="17"/>
      <c r="H23" s="24"/>
      <c r="I23" s="11"/>
    </row>
    <row r="24" spans="2:9" x14ac:dyDescent="0.25">
      <c r="B24" s="22" t="s">
        <v>40</v>
      </c>
      <c r="C24" s="17">
        <v>1183</v>
      </c>
      <c r="D24" s="17">
        <v>991</v>
      </c>
      <c r="E24" s="17">
        <v>1000</v>
      </c>
      <c r="F24" s="17">
        <v>1000</v>
      </c>
      <c r="G24" s="17"/>
      <c r="H24" s="24"/>
      <c r="I24" s="11"/>
    </row>
    <row r="25" spans="2:9" x14ac:dyDescent="0.25">
      <c r="B25" s="22" t="s">
        <v>42</v>
      </c>
      <c r="C25" s="17"/>
      <c r="D25" s="17" t="s">
        <v>57</v>
      </c>
      <c r="E25" s="17" t="s">
        <v>57</v>
      </c>
      <c r="F25" s="17" t="s">
        <v>57</v>
      </c>
      <c r="G25" s="17">
        <v>0</v>
      </c>
      <c r="H25" s="24"/>
      <c r="I25" s="11" t="s">
        <v>5</v>
      </c>
    </row>
    <row r="26" spans="2:9" x14ac:dyDescent="0.25">
      <c r="B26" s="22" t="s">
        <v>43</v>
      </c>
      <c r="C26" s="17">
        <v>974</v>
      </c>
      <c r="D26" s="17">
        <v>827</v>
      </c>
      <c r="E26" s="17">
        <v>0</v>
      </c>
      <c r="F26" s="17">
        <v>0</v>
      </c>
      <c r="G26" s="17"/>
      <c r="H26" s="24"/>
      <c r="I26" s="11"/>
    </row>
    <row r="27" spans="2:9" x14ac:dyDescent="0.25">
      <c r="B27" s="22" t="s">
        <v>44</v>
      </c>
      <c r="C27" s="17">
        <v>2030</v>
      </c>
      <c r="D27" s="17">
        <v>1695</v>
      </c>
      <c r="E27" s="17">
        <v>0</v>
      </c>
      <c r="F27" s="17">
        <v>0</v>
      </c>
      <c r="G27" s="17"/>
      <c r="H27" s="24"/>
      <c r="I27" s="11"/>
    </row>
    <row r="28" spans="2:9" x14ac:dyDescent="0.25">
      <c r="B28" s="22" t="s">
        <v>45</v>
      </c>
      <c r="C28" s="17">
        <v>2822</v>
      </c>
      <c r="D28" s="17">
        <v>2275</v>
      </c>
      <c r="E28" s="17">
        <v>0</v>
      </c>
      <c r="F28" s="17">
        <v>0</v>
      </c>
      <c r="G28" s="17"/>
      <c r="H28" s="24"/>
      <c r="I28" s="11"/>
    </row>
    <row r="29" spans="2:9" x14ac:dyDescent="0.25">
      <c r="B29" s="22" t="s">
        <v>46</v>
      </c>
      <c r="C29" s="17">
        <v>358</v>
      </c>
      <c r="D29" s="17">
        <v>150</v>
      </c>
      <c r="E29" s="17">
        <v>0</v>
      </c>
      <c r="F29" s="17">
        <v>0</v>
      </c>
      <c r="G29" s="17"/>
      <c r="H29" s="24"/>
      <c r="I29" s="11"/>
    </row>
    <row r="30" spans="2:9" x14ac:dyDescent="0.25">
      <c r="B30" s="22" t="s">
        <v>47</v>
      </c>
      <c r="C30" s="17">
        <v>4286</v>
      </c>
      <c r="D30" s="17">
        <v>3380</v>
      </c>
      <c r="E30" s="17">
        <v>2500</v>
      </c>
      <c r="F30" s="17">
        <v>2500</v>
      </c>
      <c r="G30" s="17"/>
      <c r="H30" s="24"/>
      <c r="I30" s="11"/>
    </row>
    <row r="31" spans="2:9" x14ac:dyDescent="0.25">
      <c r="B31" s="22" t="s">
        <v>48</v>
      </c>
      <c r="C31" s="17">
        <v>986</v>
      </c>
      <c r="D31" s="17">
        <v>775</v>
      </c>
      <c r="E31" s="17">
        <v>0</v>
      </c>
      <c r="F31" s="17">
        <v>0</v>
      </c>
      <c r="G31" s="17"/>
      <c r="H31" s="24"/>
      <c r="I31" s="11"/>
    </row>
    <row r="32" spans="2:9" x14ac:dyDescent="0.25">
      <c r="B32" s="22" t="s">
        <v>49</v>
      </c>
      <c r="C32" s="17">
        <v>1042</v>
      </c>
      <c r="D32" s="17">
        <v>848</v>
      </c>
      <c r="E32" s="17">
        <v>0</v>
      </c>
      <c r="F32" s="17">
        <v>0</v>
      </c>
      <c r="G32" s="17"/>
      <c r="H32" s="24"/>
      <c r="I32" s="11"/>
    </row>
    <row r="33" spans="2:16" x14ac:dyDescent="0.25">
      <c r="B33" s="22" t="s">
        <v>50</v>
      </c>
      <c r="C33" s="17">
        <v>1248</v>
      </c>
      <c r="D33" s="17">
        <v>996</v>
      </c>
      <c r="E33" s="17">
        <v>0</v>
      </c>
      <c r="F33" s="17">
        <v>0</v>
      </c>
      <c r="G33" s="17"/>
      <c r="H33" s="24"/>
      <c r="I33" s="11"/>
    </row>
    <row r="34" spans="2:16" x14ac:dyDescent="0.25">
      <c r="B34" s="22" t="s">
        <v>51</v>
      </c>
      <c r="C34" s="17">
        <v>895</v>
      </c>
      <c r="D34" s="17">
        <v>733</v>
      </c>
      <c r="E34" s="17">
        <v>0</v>
      </c>
      <c r="F34" s="17">
        <v>0</v>
      </c>
      <c r="G34" s="17"/>
      <c r="H34" s="24"/>
      <c r="I34" s="11"/>
    </row>
    <row r="35" spans="2:16" x14ac:dyDescent="0.25">
      <c r="B35" s="22" t="s">
        <v>4</v>
      </c>
      <c r="C35" s="17">
        <v>0</v>
      </c>
      <c r="D35" s="17">
        <v>0</v>
      </c>
      <c r="E35" s="17">
        <v>30</v>
      </c>
      <c r="F35" s="17">
        <v>0</v>
      </c>
      <c r="G35" s="17"/>
      <c r="H35" s="24"/>
      <c r="I35" s="11"/>
    </row>
    <row r="36" spans="2:16" x14ac:dyDescent="0.25">
      <c r="B36" s="22"/>
      <c r="C36" s="17"/>
      <c r="D36" s="17"/>
      <c r="E36" s="17"/>
      <c r="F36" s="17"/>
      <c r="G36" s="17"/>
      <c r="H36" s="24"/>
      <c r="I36" s="11"/>
    </row>
    <row r="37" spans="2:16" x14ac:dyDescent="0.25">
      <c r="B37" s="22" t="s">
        <v>11</v>
      </c>
      <c r="C37" s="17">
        <v>17.29</v>
      </c>
      <c r="D37" s="17">
        <v>28.99</v>
      </c>
      <c r="E37" s="17">
        <v>44.99</v>
      </c>
      <c r="F37" s="17">
        <v>24.99</v>
      </c>
      <c r="G37" s="17">
        <v>77</v>
      </c>
      <c r="H37" s="24">
        <v>74.97</v>
      </c>
      <c r="I37" s="11" t="s">
        <v>13</v>
      </c>
    </row>
    <row r="38" spans="2:16" x14ac:dyDescent="0.25">
      <c r="B38" s="25" t="s">
        <v>56</v>
      </c>
      <c r="C38" s="17">
        <v>27</v>
      </c>
      <c r="D38" s="17">
        <v>18</v>
      </c>
      <c r="E38" s="17">
        <v>17</v>
      </c>
      <c r="F38" s="17">
        <v>59</v>
      </c>
      <c r="G38" s="17">
        <v>30</v>
      </c>
      <c r="H38" s="24">
        <v>30</v>
      </c>
      <c r="I38" s="11"/>
    </row>
    <row r="39" spans="2:16" s="32" customFormat="1" ht="21.75" thickBot="1" x14ac:dyDescent="0.3">
      <c r="B39" s="31"/>
      <c r="C39" s="33">
        <f t="shared" ref="C39:H39" si="0">C37/C38</f>
        <v>0.64037037037037037</v>
      </c>
      <c r="D39" s="33">
        <f t="shared" si="0"/>
        <v>1.6105555555555555</v>
      </c>
      <c r="E39" s="33">
        <f t="shared" si="0"/>
        <v>2.6464705882352941</v>
      </c>
      <c r="F39" s="33">
        <f t="shared" si="0"/>
        <v>0.42355932203389829</v>
      </c>
      <c r="G39" s="33">
        <f t="shared" si="0"/>
        <v>2.5666666666666669</v>
      </c>
      <c r="H39" s="33">
        <f t="shared" si="0"/>
        <v>2.4990000000000001</v>
      </c>
      <c r="I39" s="35" t="s">
        <v>64</v>
      </c>
    </row>
    <row r="41" spans="2:16" ht="27.75" customHeight="1" thickBot="1" x14ac:dyDescent="0.3">
      <c r="B41" s="51" t="s">
        <v>73</v>
      </c>
      <c r="C41" s="2"/>
      <c r="D41" s="2"/>
      <c r="E41" s="2"/>
      <c r="F41" s="2"/>
      <c r="G41" s="2"/>
      <c r="H41" s="2"/>
    </row>
    <row r="42" spans="2:16" ht="131.25" customHeight="1" x14ac:dyDescent="0.25">
      <c r="B42" s="52"/>
      <c r="C42" s="39" t="str">
        <f>C1</f>
        <v>NOW Sports Pea Protein Powder,2-Pound</v>
      </c>
      <c r="D42" s="39" t="str">
        <f t="shared" ref="D42:H42" si="1">D1</f>
        <v>Trader Joes Organic Pea Protein</v>
      </c>
      <c r="E42" s="39" t="str">
        <f t="shared" si="1"/>
        <v xml:space="preserve">VEGA Organic Protein &amp; Greens    </v>
      </c>
      <c r="F42" s="40" t="str">
        <f t="shared" si="1"/>
        <v>BodyTech BCAA Glutamine Supports Muscle Endurance, Growth Recovery with Essential Amino Acids</v>
      </c>
      <c r="G42" s="39" t="str">
        <f t="shared" si="1"/>
        <v>Arbonne Vanilla Protein Shake Mix (Powder) #2070</v>
      </c>
      <c r="H42" s="41" t="str">
        <f t="shared" si="1"/>
        <v>The Myers Way Paleo Protein</v>
      </c>
    </row>
    <row r="43" spans="2:16" ht="30.75" customHeight="1" x14ac:dyDescent="0.25">
      <c r="B43" s="42" t="s">
        <v>74</v>
      </c>
      <c r="C43" s="43" t="str">
        <f t="shared" ref="C43:H43" si="2">C5</f>
        <v>OK</v>
      </c>
      <c r="D43" s="43" t="str">
        <f t="shared" si="2"/>
        <v>GREAT</v>
      </c>
      <c r="E43" s="43" t="str">
        <f t="shared" si="2"/>
        <v>GOOD</v>
      </c>
      <c r="F43" s="43" t="str">
        <f t="shared" si="2"/>
        <v>GOOD</v>
      </c>
      <c r="G43" s="43" t="str">
        <f t="shared" si="2"/>
        <v>GOOD</v>
      </c>
      <c r="H43" s="44" t="str">
        <f t="shared" si="2"/>
        <v>OK</v>
      </c>
      <c r="I43" s="2" t="s">
        <v>57</v>
      </c>
      <c r="M43" s="1" t="s">
        <v>95</v>
      </c>
      <c r="N43" s="1" t="s">
        <v>97</v>
      </c>
      <c r="O43" s="1" t="s">
        <v>98</v>
      </c>
    </row>
    <row r="44" spans="2:16" ht="53.25" customHeight="1" x14ac:dyDescent="0.25">
      <c r="B44" s="42" t="s">
        <v>75</v>
      </c>
      <c r="C44" s="45" t="s">
        <v>77</v>
      </c>
      <c r="D44" s="45" t="s">
        <v>77</v>
      </c>
      <c r="E44" s="45" t="s">
        <v>89</v>
      </c>
      <c r="F44" s="43" t="s">
        <v>82</v>
      </c>
      <c r="G44" s="43" t="s">
        <v>90</v>
      </c>
      <c r="H44" s="44" t="s">
        <v>90</v>
      </c>
      <c r="M44" s="1">
        <v>4</v>
      </c>
      <c r="N44" s="1">
        <v>50</v>
      </c>
      <c r="O44" s="1">
        <f>2.4</f>
        <v>2.4</v>
      </c>
      <c r="P44" s="1">
        <f>M44*N44*O44</f>
        <v>480</v>
      </c>
    </row>
    <row r="45" spans="2:16" ht="32.25" customHeight="1" x14ac:dyDescent="0.25">
      <c r="B45" s="42" t="s">
        <v>76</v>
      </c>
      <c r="C45" s="46">
        <f>C39</f>
        <v>0.64037037037037037</v>
      </c>
      <c r="D45" s="46">
        <f t="shared" ref="D45:H45" si="3">D39</f>
        <v>1.6105555555555555</v>
      </c>
      <c r="E45" s="46">
        <f t="shared" si="3"/>
        <v>2.6464705882352941</v>
      </c>
      <c r="F45" s="46">
        <f t="shared" si="3"/>
        <v>0.42355932203389829</v>
      </c>
      <c r="G45" s="46">
        <f t="shared" si="3"/>
        <v>2.5666666666666669</v>
      </c>
      <c r="H45" s="47">
        <f t="shared" si="3"/>
        <v>2.4990000000000001</v>
      </c>
      <c r="M45" s="1" t="s">
        <v>96</v>
      </c>
    </row>
    <row r="46" spans="2:16" ht="35.25" customHeight="1" thickBot="1" x14ac:dyDescent="0.3">
      <c r="B46" s="48" t="s">
        <v>78</v>
      </c>
      <c r="C46" s="49" t="s">
        <v>79</v>
      </c>
      <c r="D46" s="49" t="s">
        <v>80</v>
      </c>
      <c r="E46" s="49" t="s">
        <v>81</v>
      </c>
      <c r="F46" s="49" t="s">
        <v>83</v>
      </c>
      <c r="G46" s="49" t="s">
        <v>81</v>
      </c>
      <c r="H46" s="50" t="s">
        <v>81</v>
      </c>
      <c r="M46" s="1">
        <f>7/57</f>
        <v>0.12280701754385964</v>
      </c>
    </row>
    <row r="47" spans="2:16" x14ac:dyDescent="0.25">
      <c r="B47" s="53"/>
      <c r="C47" s="53"/>
      <c r="D47" s="53"/>
      <c r="E47" s="53"/>
      <c r="F47" s="53"/>
      <c r="G47" s="53"/>
      <c r="H47" s="53"/>
    </row>
    <row r="48" spans="2:16" x14ac:dyDescent="0.25">
      <c r="B48" s="54" t="s">
        <v>94</v>
      </c>
      <c r="C48" s="53"/>
      <c r="D48" s="53"/>
      <c r="E48" s="53"/>
      <c r="F48" s="53"/>
      <c r="G48" s="53"/>
      <c r="H48" s="53"/>
    </row>
    <row r="49" spans="2:8" x14ac:dyDescent="0.25">
      <c r="B49" s="55" t="s">
        <v>93</v>
      </c>
      <c r="C49" s="53"/>
      <c r="D49" s="53"/>
      <c r="E49" s="53"/>
      <c r="F49" s="53"/>
      <c r="G49" s="53"/>
      <c r="H49" s="53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A9ED-967C-4F85-A672-371E75D31CFA}">
  <dimension ref="B1:O28"/>
  <sheetViews>
    <sheetView topLeftCell="A3" workbookViewId="0">
      <selection activeCell="K21" sqref="K21"/>
    </sheetView>
  </sheetViews>
  <sheetFormatPr defaultRowHeight="15" x14ac:dyDescent="0.25"/>
  <cols>
    <col min="1" max="1" width="5.28515625" style="1" customWidth="1"/>
    <col min="2" max="2" width="33.140625" style="1" customWidth="1"/>
    <col min="3" max="3" width="8.28515625" style="2" bestFit="1" customWidth="1"/>
    <col min="4" max="4" width="11.42578125" style="2" bestFit="1" customWidth="1"/>
    <col min="5" max="8" width="15" style="2" customWidth="1"/>
    <col min="9" max="9" width="14.28515625" style="2" customWidth="1"/>
    <col min="10" max="10" width="12.5703125" style="2" customWidth="1"/>
    <col min="11" max="11" width="12.85546875" style="2" bestFit="1" customWidth="1"/>
    <col min="12" max="12" width="30" style="1" customWidth="1"/>
    <col min="13" max="13" width="10.42578125" style="1" bestFit="1" customWidth="1"/>
    <col min="14" max="16384" width="9.140625" style="1"/>
  </cols>
  <sheetData>
    <row r="1" spans="2:15" ht="15.75" thickBot="1" x14ac:dyDescent="0.3"/>
    <row r="2" spans="2:15" x14ac:dyDescent="0.25">
      <c r="B2" s="77"/>
      <c r="C2" s="63" t="s">
        <v>102</v>
      </c>
      <c r="D2" s="63" t="s">
        <v>103</v>
      </c>
      <c r="E2" s="63" t="s">
        <v>138</v>
      </c>
      <c r="F2" s="63" t="s">
        <v>139</v>
      </c>
      <c r="G2" s="63" t="s">
        <v>140</v>
      </c>
      <c r="H2" s="63" t="s">
        <v>0</v>
      </c>
      <c r="I2" s="63" t="s">
        <v>142</v>
      </c>
      <c r="J2" s="63" t="s">
        <v>135</v>
      </c>
      <c r="K2" s="63" t="s">
        <v>124</v>
      </c>
      <c r="L2" s="64" t="s">
        <v>57</v>
      </c>
      <c r="M2" s="2" t="s">
        <v>57</v>
      </c>
    </row>
    <row r="3" spans="2:15" s="56" customFormat="1" ht="12" x14ac:dyDescent="0.25">
      <c r="B3" s="78"/>
      <c r="C3" s="65" t="s">
        <v>133</v>
      </c>
      <c r="D3" s="65"/>
      <c r="E3" s="65" t="s">
        <v>109</v>
      </c>
      <c r="F3" s="65" t="s">
        <v>109</v>
      </c>
      <c r="G3" s="65" t="s">
        <v>109</v>
      </c>
      <c r="H3" s="65"/>
      <c r="I3" s="65" t="s">
        <v>143</v>
      </c>
      <c r="J3" s="65" t="s">
        <v>136</v>
      </c>
      <c r="K3" s="65"/>
      <c r="L3" s="66"/>
    </row>
    <row r="4" spans="2:15" x14ac:dyDescent="0.25">
      <c r="B4" s="67" t="s">
        <v>101</v>
      </c>
      <c r="C4" s="80">
        <v>8</v>
      </c>
      <c r="D4" s="68" t="s">
        <v>111</v>
      </c>
      <c r="E4" s="68">
        <f>6*C4</f>
        <v>48</v>
      </c>
      <c r="F4" s="68">
        <f>C4*1</f>
        <v>8</v>
      </c>
      <c r="G4" s="68">
        <f>4*C4</f>
        <v>32</v>
      </c>
      <c r="H4" s="68">
        <f>C4*60</f>
        <v>480</v>
      </c>
      <c r="I4" s="71">
        <f>C4/12*0.79</f>
        <v>0.52666666666666662</v>
      </c>
      <c r="J4" s="70">
        <f>50*C4/28.3</f>
        <v>14.134275618374557</v>
      </c>
      <c r="K4" s="68"/>
      <c r="L4" s="69" t="s">
        <v>131</v>
      </c>
    </row>
    <row r="5" spans="2:15" x14ac:dyDescent="0.25">
      <c r="B5" s="67" t="s">
        <v>100</v>
      </c>
      <c r="C5" s="80">
        <v>0.5</v>
      </c>
      <c r="D5" s="68" t="s">
        <v>104</v>
      </c>
      <c r="E5" s="68">
        <v>0</v>
      </c>
      <c r="F5" s="68">
        <v>0</v>
      </c>
      <c r="G5" s="68">
        <v>0</v>
      </c>
      <c r="H5" s="68">
        <v>0</v>
      </c>
      <c r="I5" s="71">
        <f>C5*2/6</f>
        <v>0.16666666666666666</v>
      </c>
      <c r="J5" s="70">
        <f>0.17*C5</f>
        <v>8.5000000000000006E-2</v>
      </c>
      <c r="K5" s="68"/>
      <c r="L5" s="69" t="s">
        <v>132</v>
      </c>
    </row>
    <row r="6" spans="2:15" x14ac:dyDescent="0.25">
      <c r="B6" s="67" t="s">
        <v>105</v>
      </c>
      <c r="C6" s="80">
        <v>0.5</v>
      </c>
      <c r="D6" s="68" t="s">
        <v>106</v>
      </c>
      <c r="E6" s="68">
        <f>0</f>
        <v>0</v>
      </c>
      <c r="F6" s="68">
        <f>2*C6</f>
        <v>1</v>
      </c>
      <c r="G6" s="70">
        <f>4.5*C6</f>
        <v>2.25</v>
      </c>
      <c r="H6" s="68">
        <f>45*C6</f>
        <v>22.5</v>
      </c>
      <c r="I6" s="71">
        <f>35.88/(12*4)*C6</f>
        <v>0.37375000000000003</v>
      </c>
      <c r="J6" s="70">
        <f>8*C6</f>
        <v>4</v>
      </c>
      <c r="K6" s="71"/>
      <c r="L6" s="69" t="s">
        <v>114</v>
      </c>
    </row>
    <row r="7" spans="2:15" x14ac:dyDescent="0.25">
      <c r="B7" s="67" t="s">
        <v>107</v>
      </c>
      <c r="C7" s="80">
        <v>0.5</v>
      </c>
      <c r="D7" s="68" t="s">
        <v>106</v>
      </c>
      <c r="E7" s="68">
        <v>0</v>
      </c>
      <c r="F7" s="68">
        <f>200*C7</f>
        <v>100</v>
      </c>
      <c r="G7" s="68">
        <v>0</v>
      </c>
      <c r="H7" s="68">
        <f>200*15/4*C7</f>
        <v>375</v>
      </c>
      <c r="I7" s="71">
        <f>9.46/(16*2)*(48/113)*C7</f>
        <v>6.2787610619469025E-2</v>
      </c>
      <c r="J7" s="70">
        <f>8*C7</f>
        <v>4</v>
      </c>
      <c r="K7" s="71"/>
      <c r="L7" s="69" t="s">
        <v>120</v>
      </c>
    </row>
    <row r="8" spans="2:15" x14ac:dyDescent="0.25">
      <c r="B8" s="67" t="s">
        <v>99</v>
      </c>
      <c r="C8" s="80">
        <v>2</v>
      </c>
      <c r="D8" s="68" t="s">
        <v>108</v>
      </c>
      <c r="E8" s="68">
        <f>24*C8</f>
        <v>48</v>
      </c>
      <c r="F8" s="68">
        <f>1*C8</f>
        <v>2</v>
      </c>
      <c r="G8" s="68">
        <f>2*C8</f>
        <v>4</v>
      </c>
      <c r="H8" s="68">
        <f>120*C8</f>
        <v>240</v>
      </c>
      <c r="I8" s="71">
        <f>18.37/27*C8</f>
        <v>1.3607407407407408</v>
      </c>
      <c r="J8" s="70">
        <f>C8*33/28.3</f>
        <v>2.3321554770318023</v>
      </c>
      <c r="K8" s="71"/>
      <c r="L8" s="69" t="s">
        <v>119</v>
      </c>
    </row>
    <row r="9" spans="2:15" x14ac:dyDescent="0.25">
      <c r="B9" s="67" t="s">
        <v>110</v>
      </c>
      <c r="C9" s="80">
        <v>0.5</v>
      </c>
      <c r="D9" s="68" t="s">
        <v>106</v>
      </c>
      <c r="E9" s="68">
        <f>2*C9*4</f>
        <v>4</v>
      </c>
      <c r="F9" s="68">
        <f>24*C9*4</f>
        <v>48</v>
      </c>
      <c r="G9" s="68">
        <v>0</v>
      </c>
      <c r="H9" s="68">
        <f>110*C9*4</f>
        <v>220</v>
      </c>
      <c r="I9" s="71">
        <f>5.35/15*C9*4</f>
        <v>0.71333333333333326</v>
      </c>
      <c r="J9" s="70">
        <f>8*C9</f>
        <v>4</v>
      </c>
      <c r="K9" s="71"/>
      <c r="L9" s="79" t="s">
        <v>115</v>
      </c>
    </row>
    <row r="10" spans="2:15" x14ac:dyDescent="0.25">
      <c r="B10" s="67" t="s">
        <v>122</v>
      </c>
      <c r="C10" s="80">
        <v>0.25</v>
      </c>
      <c r="D10" s="68" t="s">
        <v>106</v>
      </c>
      <c r="E10" s="68">
        <f>1*16*C10</f>
        <v>4</v>
      </c>
      <c r="F10" s="68">
        <f>9*16*C10</f>
        <v>36</v>
      </c>
      <c r="G10" s="68">
        <f>5*16*C10</f>
        <v>20</v>
      </c>
      <c r="H10" s="68">
        <f>80*16*C10</f>
        <v>320</v>
      </c>
      <c r="I10" s="71">
        <f>5.29/19*16*C10</f>
        <v>1.1136842105263158</v>
      </c>
      <c r="J10" s="70">
        <f>8*C10</f>
        <v>2</v>
      </c>
      <c r="K10" s="71"/>
      <c r="L10" s="79" t="s">
        <v>123</v>
      </c>
    </row>
    <row r="11" spans="2:15" x14ac:dyDescent="0.25">
      <c r="B11" s="72" t="s">
        <v>134</v>
      </c>
      <c r="C11" s="68"/>
      <c r="D11" s="68"/>
      <c r="E11" s="73">
        <f t="shared" ref="E11:H11" si="0">SUM(E4:E10)</f>
        <v>104</v>
      </c>
      <c r="F11" s="73">
        <f t="shared" si="0"/>
        <v>195</v>
      </c>
      <c r="G11" s="73">
        <f t="shared" si="0"/>
        <v>58.25</v>
      </c>
      <c r="H11" s="73">
        <f t="shared" si="0"/>
        <v>1657.5</v>
      </c>
      <c r="I11" s="70">
        <f>SUM(I4:I10)</f>
        <v>4.3176292285531925</v>
      </c>
      <c r="J11" s="70">
        <f>SUM(J4:J10)</f>
        <v>30.551431095406361</v>
      </c>
      <c r="K11" s="70"/>
      <c r="L11" s="69"/>
      <c r="N11" s="34">
        <f>I11*50</f>
        <v>215.88146142765962</v>
      </c>
      <c r="O11" s="34">
        <f>N12/N11</f>
        <v>4</v>
      </c>
    </row>
    <row r="12" spans="2:15" ht="15.75" thickBot="1" x14ac:dyDescent="0.3">
      <c r="B12" s="72" t="s">
        <v>112</v>
      </c>
      <c r="C12" s="68"/>
      <c r="D12" s="68"/>
      <c r="E12" s="70">
        <f>E11/16</f>
        <v>6.5</v>
      </c>
      <c r="F12" s="70">
        <f t="shared" ref="F12:H12" si="1">F11/16</f>
        <v>12.1875</v>
      </c>
      <c r="G12" s="70">
        <f t="shared" si="1"/>
        <v>3.640625</v>
      </c>
      <c r="H12" s="73">
        <f t="shared" si="1"/>
        <v>103.59375</v>
      </c>
      <c r="I12" s="70">
        <f>I11/16</f>
        <v>0.26985182678457453</v>
      </c>
      <c r="J12" s="70">
        <f>J11/16</f>
        <v>1.9094644434628976</v>
      </c>
      <c r="K12" s="70"/>
      <c r="L12" s="69"/>
      <c r="N12" s="34">
        <f>N11*4</f>
        <v>863.52584571063846</v>
      </c>
    </row>
    <row r="13" spans="2:15" ht="30.75" customHeight="1" thickBot="1" x14ac:dyDescent="0.3">
      <c r="B13" s="57" t="s">
        <v>113</v>
      </c>
      <c r="C13" s="58"/>
      <c r="D13" s="58"/>
      <c r="E13" s="61">
        <f>E12*2</f>
        <v>13</v>
      </c>
      <c r="F13" s="59">
        <f t="shared" ref="F13:H13" si="2">F12*2</f>
        <v>24.375</v>
      </c>
      <c r="G13" s="61">
        <f t="shared" si="2"/>
        <v>7.28125</v>
      </c>
      <c r="H13" s="60">
        <f t="shared" si="2"/>
        <v>207.1875</v>
      </c>
      <c r="I13" s="62">
        <f>I12*2</f>
        <v>0.53970365356914907</v>
      </c>
      <c r="J13" s="82">
        <f>J12*2</f>
        <v>3.8189288869257951</v>
      </c>
      <c r="K13" s="81" t="s">
        <v>125</v>
      </c>
      <c r="L13" s="69"/>
      <c r="N13" s="34">
        <f>N12-N11</f>
        <v>647.64438428297888</v>
      </c>
    </row>
    <row r="14" spans="2:15" x14ac:dyDescent="0.25">
      <c r="B14" s="67"/>
      <c r="C14" s="68"/>
      <c r="D14" s="68"/>
      <c r="E14" s="68" t="str">
        <f>E2</f>
        <v>Protein (g)</v>
      </c>
      <c r="F14" s="68" t="str">
        <f t="shared" ref="F14:H14" si="3">F2</f>
        <v>Carbohydrate (g)</v>
      </c>
      <c r="G14" s="68" t="str">
        <f t="shared" si="3"/>
        <v>Fat (g)</v>
      </c>
      <c r="H14" s="68" t="str">
        <f t="shared" si="3"/>
        <v>Calories</v>
      </c>
      <c r="I14" s="68" t="str">
        <f>I2</f>
        <v>Cost ($)</v>
      </c>
      <c r="J14" s="68" t="s">
        <v>137</v>
      </c>
      <c r="K14" s="68" t="s">
        <v>151</v>
      </c>
      <c r="L14" s="69"/>
    </row>
    <row r="15" spans="2:15" x14ac:dyDescent="0.25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9"/>
    </row>
    <row r="16" spans="2:15" x14ac:dyDescent="0.25">
      <c r="B16" s="67" t="s">
        <v>121</v>
      </c>
      <c r="C16" s="68"/>
      <c r="D16" s="68"/>
      <c r="E16" s="68">
        <v>12</v>
      </c>
      <c r="F16" s="68">
        <v>14</v>
      </c>
      <c r="G16" s="68">
        <v>1</v>
      </c>
      <c r="H16" s="68">
        <v>210</v>
      </c>
      <c r="I16" s="71">
        <f>29.2/12</f>
        <v>2.4333333333333331</v>
      </c>
      <c r="J16" s="71"/>
      <c r="K16" s="71" t="s">
        <v>126</v>
      </c>
      <c r="L16" s="69" t="s">
        <v>116</v>
      </c>
    </row>
    <row r="17" spans="2:12" x14ac:dyDescent="0.25">
      <c r="B17" s="67" t="s">
        <v>117</v>
      </c>
      <c r="C17" s="68"/>
      <c r="D17" s="68"/>
      <c r="E17" s="68">
        <v>9</v>
      </c>
      <c r="F17" s="68">
        <v>44</v>
      </c>
      <c r="G17" s="68">
        <v>5</v>
      </c>
      <c r="H17" s="68">
        <v>250</v>
      </c>
      <c r="I17" s="71">
        <f>24.52/12</f>
        <v>2.0433333333333334</v>
      </c>
      <c r="J17" s="71"/>
      <c r="K17" s="71" t="s">
        <v>125</v>
      </c>
      <c r="L17" s="69" t="s">
        <v>118</v>
      </c>
    </row>
    <row r="18" spans="2:12" ht="15.75" thickBot="1" x14ac:dyDescent="0.3"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6"/>
    </row>
    <row r="19" spans="2:12" ht="15.75" thickBot="1" x14ac:dyDescent="0.3"/>
    <row r="20" spans="2:12" ht="18.75" x14ac:dyDescent="0.25">
      <c r="B20" s="86" t="s">
        <v>141</v>
      </c>
      <c r="C20" s="63"/>
      <c r="D20" s="63"/>
      <c r="E20" s="91" t="str">
        <f>E2</f>
        <v>Protein (g)</v>
      </c>
      <c r="F20" s="91" t="str">
        <f>H2</f>
        <v>Calories</v>
      </c>
      <c r="G20" s="92" t="str">
        <f>I2</f>
        <v>Cost ($)</v>
      </c>
      <c r="I20" s="2">
        <f>(20916-20209)/20916</f>
        <v>3.3801874163319943E-2</v>
      </c>
    </row>
    <row r="21" spans="2:12" ht="21.75" customHeight="1" x14ac:dyDescent="0.25">
      <c r="B21" s="93" t="s">
        <v>150</v>
      </c>
      <c r="C21" s="94"/>
      <c r="D21" s="94"/>
      <c r="E21" s="94">
        <v>13</v>
      </c>
      <c r="F21" s="94">
        <v>207</v>
      </c>
      <c r="G21" s="95">
        <v>0.54</v>
      </c>
      <c r="I21" s="2">
        <f xml:space="preserve"> (32497-29147)/32497</f>
        <v>0.10308643874819214</v>
      </c>
    </row>
    <row r="22" spans="2:12" ht="21.75" customHeight="1" x14ac:dyDescent="0.25">
      <c r="B22" s="88" t="s">
        <v>145</v>
      </c>
      <c r="C22" s="68"/>
      <c r="D22" s="68"/>
      <c r="E22" s="68">
        <v>16</v>
      </c>
      <c r="F22" s="68">
        <v>237</v>
      </c>
      <c r="G22" s="87">
        <v>0.56999999999999995</v>
      </c>
      <c r="I22" s="2">
        <f>70000*0.04</f>
        <v>2800</v>
      </c>
      <c r="J22" s="2">
        <f>I22/12</f>
        <v>233.33333333333334</v>
      </c>
    </row>
    <row r="23" spans="2:12" ht="21.75" customHeight="1" x14ac:dyDescent="0.25">
      <c r="B23" s="88" t="s">
        <v>144</v>
      </c>
      <c r="C23" s="68"/>
      <c r="D23" s="68"/>
      <c r="E23" s="68">
        <v>19</v>
      </c>
      <c r="F23" s="68">
        <v>237</v>
      </c>
      <c r="G23" s="87">
        <v>0.71</v>
      </c>
    </row>
    <row r="24" spans="2:12" ht="21.75" customHeight="1" x14ac:dyDescent="0.25">
      <c r="B24" s="88" t="s">
        <v>146</v>
      </c>
      <c r="C24" s="68"/>
      <c r="D24" s="68"/>
      <c r="E24" s="68">
        <v>13</v>
      </c>
      <c r="F24" s="68">
        <v>167</v>
      </c>
      <c r="G24" s="87">
        <v>0.4</v>
      </c>
    </row>
    <row r="25" spans="2:12" ht="21.75" customHeight="1" x14ac:dyDescent="0.25">
      <c r="B25" s="88" t="s">
        <v>147</v>
      </c>
      <c r="C25" s="68"/>
      <c r="D25" s="68"/>
      <c r="E25" s="68">
        <v>13</v>
      </c>
      <c r="F25" s="68">
        <v>184</v>
      </c>
      <c r="G25" s="87">
        <v>0.54</v>
      </c>
    </row>
    <row r="26" spans="2:12" ht="21.75" customHeight="1" x14ac:dyDescent="0.25">
      <c r="B26" s="88"/>
      <c r="C26" s="68"/>
      <c r="D26" s="68"/>
      <c r="E26" s="68"/>
      <c r="F26" s="68"/>
      <c r="G26" s="87"/>
    </row>
    <row r="27" spans="2:12" ht="21.75" customHeight="1" x14ac:dyDescent="0.25">
      <c r="B27" s="88" t="s">
        <v>148</v>
      </c>
      <c r="C27" s="68"/>
      <c r="D27" s="68"/>
      <c r="E27" s="68">
        <f>E16</f>
        <v>12</v>
      </c>
      <c r="F27" s="68">
        <f>H16</f>
        <v>210</v>
      </c>
      <c r="G27" s="87">
        <f>I16</f>
        <v>2.4333333333333331</v>
      </c>
    </row>
    <row r="28" spans="2:12" ht="21.75" customHeight="1" thickBot="1" x14ac:dyDescent="0.3">
      <c r="B28" s="89" t="s">
        <v>149</v>
      </c>
      <c r="C28" s="75"/>
      <c r="D28" s="75"/>
      <c r="E28" s="75">
        <f>E17</f>
        <v>9</v>
      </c>
      <c r="F28" s="75">
        <f>H17</f>
        <v>250</v>
      </c>
      <c r="G28" s="90">
        <f>I17</f>
        <v>2.0433333333333334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0D3C-B455-4DBE-AED6-938AB4993565}">
  <dimension ref="A2:F7"/>
  <sheetViews>
    <sheetView workbookViewId="0">
      <selection activeCell="C6" sqref="C6"/>
    </sheetView>
  </sheetViews>
  <sheetFormatPr defaultRowHeight="15" x14ac:dyDescent="0.25"/>
  <cols>
    <col min="2" max="6" width="17.140625" customWidth="1"/>
  </cols>
  <sheetData>
    <row r="2" spans="1:6" ht="15.75" thickBot="1" x14ac:dyDescent="0.3">
      <c r="A2" s="2"/>
      <c r="B2" s="2"/>
      <c r="C2" s="2"/>
      <c r="D2" s="2"/>
      <c r="E2" s="2"/>
    </row>
    <row r="3" spans="1:6" s="2" customFormat="1" ht="63" customHeight="1" x14ac:dyDescent="0.25">
      <c r="B3" s="103"/>
      <c r="C3" s="83" t="s">
        <v>128</v>
      </c>
      <c r="D3" s="83" t="s">
        <v>127</v>
      </c>
      <c r="E3" s="83" t="s">
        <v>129</v>
      </c>
      <c r="F3" s="102" t="s">
        <v>152</v>
      </c>
    </row>
    <row r="4" spans="1:6" s="2" customFormat="1" ht="63" customHeight="1" thickBot="1" x14ac:dyDescent="0.3">
      <c r="B4" s="96">
        <v>60</v>
      </c>
      <c r="C4" s="85">
        <f>B4*90</f>
        <v>5400</v>
      </c>
      <c r="D4" s="85">
        <v>10</v>
      </c>
      <c r="E4" s="85">
        <v>50</v>
      </c>
      <c r="F4" s="101">
        <f>C4*D4*E4</f>
        <v>2700000</v>
      </c>
    </row>
    <row r="5" spans="1:6" x14ac:dyDescent="0.25">
      <c r="A5" s="2"/>
      <c r="B5" s="2"/>
      <c r="C5" s="2"/>
      <c r="D5" s="2"/>
      <c r="E5" s="2"/>
    </row>
    <row r="7" spans="1:6" x14ac:dyDescent="0.25">
      <c r="B7" t="s">
        <v>57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03EC-ACDF-4C0B-851F-66EFD20D4FD2}">
  <dimension ref="B2:V54"/>
  <sheetViews>
    <sheetView tabSelected="1" topLeftCell="A29" zoomScale="85" workbookViewId="0">
      <selection activeCell="T44" sqref="T44"/>
    </sheetView>
  </sheetViews>
  <sheetFormatPr defaultRowHeight="22.5" customHeight="1" x14ac:dyDescent="0.25"/>
  <cols>
    <col min="1" max="1" width="9.140625" style="1"/>
    <col min="2" max="2" width="10.85546875" style="1" customWidth="1"/>
    <col min="3" max="5" width="9.140625" style="2"/>
    <col min="6" max="6" width="11.42578125" style="2" customWidth="1"/>
    <col min="7" max="15" width="9.140625" style="2"/>
    <col min="16" max="17" width="9.140625" style="1"/>
    <col min="18" max="18" width="10.42578125" style="1" bestFit="1" customWidth="1"/>
    <col min="19" max="16384" width="9.140625" style="1"/>
  </cols>
  <sheetData>
    <row r="2" spans="2:18" ht="22.5" customHeight="1" thickBot="1" x14ac:dyDescent="0.3">
      <c r="B2" s="53" t="s">
        <v>153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53"/>
      <c r="Q2" s="53"/>
      <c r="R2" s="53"/>
    </row>
    <row r="3" spans="2:18" ht="22.5" customHeight="1" x14ac:dyDescent="0.25">
      <c r="B3" s="117"/>
      <c r="C3" s="63" t="s">
        <v>155</v>
      </c>
      <c r="D3" s="63"/>
      <c r="E3" s="63" t="s">
        <v>156</v>
      </c>
      <c r="F3" s="63"/>
      <c r="G3" s="63" t="s">
        <v>157</v>
      </c>
      <c r="H3" s="63"/>
      <c r="I3" s="63" t="s">
        <v>158</v>
      </c>
      <c r="J3" s="63"/>
      <c r="K3" s="63" t="s">
        <v>159</v>
      </c>
      <c r="L3" s="63"/>
      <c r="M3" s="63" t="s">
        <v>160</v>
      </c>
      <c r="N3" s="63"/>
      <c r="O3" s="63" t="s">
        <v>161</v>
      </c>
      <c r="P3" s="118" t="s">
        <v>57</v>
      </c>
      <c r="Q3" s="118" t="s">
        <v>167</v>
      </c>
      <c r="R3" s="119"/>
    </row>
    <row r="4" spans="2:18" ht="22.5" customHeight="1" thickBot="1" x14ac:dyDescent="0.3">
      <c r="B4" s="67" t="s">
        <v>154</v>
      </c>
      <c r="C4" s="68" t="s">
        <v>162</v>
      </c>
      <c r="D4" s="68"/>
      <c r="E4" s="68" t="s">
        <v>163</v>
      </c>
      <c r="F4" s="68"/>
      <c r="G4" s="68" t="s">
        <v>162</v>
      </c>
      <c r="H4" s="68"/>
      <c r="I4" s="68" t="s">
        <v>165</v>
      </c>
      <c r="J4" s="68"/>
      <c r="K4" s="68" t="s">
        <v>162</v>
      </c>
      <c r="L4" s="68"/>
      <c r="M4" s="68" t="s">
        <v>166</v>
      </c>
      <c r="N4" s="68"/>
      <c r="O4" s="68" t="s">
        <v>162</v>
      </c>
      <c r="P4" s="120"/>
      <c r="Q4" s="120"/>
      <c r="R4" s="69"/>
    </row>
    <row r="5" spans="2:18" ht="22.5" customHeight="1" thickBot="1" x14ac:dyDescent="0.3">
      <c r="B5" s="67"/>
      <c r="C5" s="68"/>
      <c r="D5" s="68"/>
      <c r="E5" s="121">
        <v>120</v>
      </c>
      <c r="F5" s="68"/>
      <c r="G5" s="68"/>
      <c r="H5" s="68"/>
      <c r="I5" s="121">
        <v>180</v>
      </c>
      <c r="J5" s="68"/>
      <c r="K5" s="68"/>
      <c r="L5" s="68"/>
      <c r="M5" s="121">
        <v>240</v>
      </c>
      <c r="N5" s="68"/>
      <c r="O5" s="68"/>
      <c r="P5" s="120"/>
      <c r="Q5" s="122">
        <f>SUM(E5:O5)/60</f>
        <v>9</v>
      </c>
      <c r="R5" s="69"/>
    </row>
    <row r="6" spans="2:18" ht="22.5" customHeight="1" thickBot="1" x14ac:dyDescent="0.3">
      <c r="B6" s="67" t="s">
        <v>57</v>
      </c>
      <c r="C6" s="68"/>
      <c r="D6" s="68"/>
      <c r="E6" s="68" t="s">
        <v>164</v>
      </c>
      <c r="F6" s="68"/>
      <c r="G6" s="68"/>
      <c r="H6" s="68"/>
      <c r="I6" s="68" t="s">
        <v>164</v>
      </c>
      <c r="J6" s="68"/>
      <c r="K6" s="68"/>
      <c r="L6" s="68"/>
      <c r="M6" s="68" t="s">
        <v>164</v>
      </c>
      <c r="N6" s="68"/>
      <c r="O6" s="68"/>
      <c r="P6" s="120"/>
      <c r="Q6" s="120"/>
      <c r="R6" s="69"/>
    </row>
    <row r="7" spans="2:18" ht="22.5" customHeight="1" thickBot="1" x14ac:dyDescent="0.3">
      <c r="B7" s="67"/>
      <c r="C7" s="68"/>
      <c r="D7" s="68"/>
      <c r="E7" s="121">
        <v>2</v>
      </c>
      <c r="F7" s="68"/>
      <c r="G7" s="68"/>
      <c r="H7" s="68"/>
      <c r="I7" s="121">
        <v>2</v>
      </c>
      <c r="J7" s="68"/>
      <c r="K7" s="68"/>
      <c r="L7" s="68"/>
      <c r="M7" s="121">
        <v>2</v>
      </c>
      <c r="N7" s="68"/>
      <c r="O7" s="68"/>
      <c r="P7" s="120"/>
      <c r="Q7" s="120"/>
      <c r="R7" s="69"/>
    </row>
    <row r="8" spans="2:18" ht="22.5" customHeight="1" x14ac:dyDescent="0.25">
      <c r="B8" s="67"/>
      <c r="C8" s="68"/>
      <c r="D8" s="68"/>
      <c r="E8" s="68" t="s">
        <v>130</v>
      </c>
      <c r="F8" s="68"/>
      <c r="G8" s="68"/>
      <c r="H8" s="68"/>
      <c r="I8" s="68" t="s">
        <v>130</v>
      </c>
      <c r="J8" s="68"/>
      <c r="K8" s="68"/>
      <c r="L8" s="68"/>
      <c r="M8" s="68" t="s">
        <v>130</v>
      </c>
      <c r="N8" s="68"/>
      <c r="O8" s="68"/>
      <c r="P8" s="120"/>
      <c r="Q8" s="120"/>
      <c r="R8" s="69"/>
    </row>
    <row r="9" spans="2:18" ht="22.5" customHeight="1" thickBot="1" x14ac:dyDescent="0.3">
      <c r="B9" s="74"/>
      <c r="C9" s="75"/>
      <c r="D9" s="75"/>
      <c r="E9" s="128">
        <f>E5*E7</f>
        <v>240</v>
      </c>
      <c r="F9" s="75"/>
      <c r="G9" s="75"/>
      <c r="H9" s="75"/>
      <c r="I9" s="128">
        <f>I5*I7</f>
        <v>360</v>
      </c>
      <c r="J9" s="75"/>
      <c r="K9" s="75"/>
      <c r="L9" s="75"/>
      <c r="M9" s="128">
        <f>M5*M7</f>
        <v>480</v>
      </c>
      <c r="N9" s="75"/>
      <c r="O9" s="75"/>
      <c r="P9" s="123"/>
      <c r="Q9" s="128">
        <f>SUM(E9:P9)</f>
        <v>1080</v>
      </c>
      <c r="R9" s="76"/>
    </row>
    <row r="10" spans="2:18" ht="9" customHeight="1" thickBot="1" x14ac:dyDescent="0.3">
      <c r="B10" s="53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53"/>
      <c r="Q10" s="53"/>
      <c r="R10" s="53"/>
    </row>
    <row r="11" spans="2:18" ht="22.5" customHeight="1" x14ac:dyDescent="0.25">
      <c r="B11" s="117"/>
      <c r="C11" s="63" t="s">
        <v>155</v>
      </c>
      <c r="D11" s="63"/>
      <c r="E11" s="63" t="s">
        <v>156</v>
      </c>
      <c r="F11" s="63"/>
      <c r="G11" s="63" t="s">
        <v>157</v>
      </c>
      <c r="H11" s="63"/>
      <c r="I11" s="63" t="s">
        <v>158</v>
      </c>
      <c r="J11" s="63"/>
      <c r="K11" s="63" t="s">
        <v>159</v>
      </c>
      <c r="L11" s="63"/>
      <c r="M11" s="63" t="s">
        <v>160</v>
      </c>
      <c r="N11" s="63"/>
      <c r="O11" s="63" t="s">
        <v>161</v>
      </c>
      <c r="P11" s="118" t="s">
        <v>57</v>
      </c>
      <c r="Q11" s="118" t="s">
        <v>167</v>
      </c>
      <c r="R11" s="119"/>
    </row>
    <row r="12" spans="2:18" ht="22.5" customHeight="1" thickBot="1" x14ac:dyDescent="0.3">
      <c r="B12" s="67" t="s">
        <v>168</v>
      </c>
      <c r="C12" s="68" t="s">
        <v>162</v>
      </c>
      <c r="D12" s="68"/>
      <c r="E12" s="68" t="s">
        <v>163</v>
      </c>
      <c r="F12" s="68"/>
      <c r="G12" s="68" t="s">
        <v>162</v>
      </c>
      <c r="H12" s="68"/>
      <c r="I12" s="68" t="s">
        <v>169</v>
      </c>
      <c r="J12" s="68"/>
      <c r="K12" s="68" t="s">
        <v>162</v>
      </c>
      <c r="L12" s="68"/>
      <c r="M12" s="68" t="s">
        <v>171</v>
      </c>
      <c r="N12" s="68"/>
      <c r="O12" s="68" t="s">
        <v>162</v>
      </c>
      <c r="P12" s="120"/>
      <c r="Q12" s="120"/>
      <c r="R12" s="69"/>
    </row>
    <row r="13" spans="2:18" ht="22.5" customHeight="1" thickBot="1" x14ac:dyDescent="0.3">
      <c r="B13" s="67"/>
      <c r="C13" s="68"/>
      <c r="D13" s="68"/>
      <c r="E13" s="121">
        <v>120</v>
      </c>
      <c r="F13" s="68"/>
      <c r="G13" s="68"/>
      <c r="H13" s="68"/>
      <c r="I13" s="121">
        <v>210</v>
      </c>
      <c r="J13" s="68"/>
      <c r="K13" s="68"/>
      <c r="L13" s="68"/>
      <c r="M13" s="121">
        <v>270</v>
      </c>
      <c r="N13" s="68"/>
      <c r="O13" s="68"/>
      <c r="P13" s="120"/>
      <c r="Q13" s="122">
        <f>SUM(E13:O13)/60</f>
        <v>10</v>
      </c>
      <c r="R13" s="69"/>
    </row>
    <row r="14" spans="2:18" ht="22.5" customHeight="1" thickBot="1" x14ac:dyDescent="0.3">
      <c r="B14" s="67" t="s">
        <v>57</v>
      </c>
      <c r="C14" s="68"/>
      <c r="D14" s="68"/>
      <c r="E14" s="68" t="s">
        <v>164</v>
      </c>
      <c r="F14" s="68"/>
      <c r="G14" s="68"/>
      <c r="H14" s="68"/>
      <c r="I14" s="68" t="s">
        <v>164</v>
      </c>
      <c r="J14" s="68"/>
      <c r="K14" s="68"/>
      <c r="L14" s="68"/>
      <c r="M14" s="68" t="s">
        <v>164</v>
      </c>
      <c r="N14" s="68"/>
      <c r="O14" s="68"/>
      <c r="P14" s="120"/>
      <c r="Q14" s="124">
        <f>(Q13-Q5)/Q5</f>
        <v>0.1111111111111111</v>
      </c>
      <c r="R14" s="125" t="s">
        <v>170</v>
      </c>
    </row>
    <row r="15" spans="2:18" ht="22.5" customHeight="1" thickBot="1" x14ac:dyDescent="0.3">
      <c r="B15" s="67"/>
      <c r="C15" s="68"/>
      <c r="D15" s="68"/>
      <c r="E15" s="121">
        <v>2</v>
      </c>
      <c r="F15" s="68"/>
      <c r="G15" s="68"/>
      <c r="H15" s="68"/>
      <c r="I15" s="121">
        <v>2</v>
      </c>
      <c r="J15" s="68"/>
      <c r="K15" s="68"/>
      <c r="L15" s="68"/>
      <c r="M15" s="121">
        <v>2</v>
      </c>
      <c r="N15" s="68"/>
      <c r="O15" s="68"/>
      <c r="P15" s="120"/>
      <c r="Q15" s="120"/>
      <c r="R15" s="69"/>
    </row>
    <row r="16" spans="2:18" ht="22.5" customHeight="1" x14ac:dyDescent="0.25">
      <c r="B16" s="67"/>
      <c r="C16" s="68"/>
      <c r="D16" s="68"/>
      <c r="E16" s="68" t="s">
        <v>130</v>
      </c>
      <c r="F16" s="68"/>
      <c r="G16" s="68"/>
      <c r="H16" s="68"/>
      <c r="I16" s="68" t="s">
        <v>130</v>
      </c>
      <c r="J16" s="68"/>
      <c r="K16" s="68"/>
      <c r="L16" s="68"/>
      <c r="M16" s="68" t="s">
        <v>130</v>
      </c>
      <c r="N16" s="68"/>
      <c r="O16" s="68"/>
      <c r="P16" s="120"/>
      <c r="Q16" s="120"/>
      <c r="R16" s="69"/>
    </row>
    <row r="17" spans="2:22" ht="22.5" customHeight="1" x14ac:dyDescent="0.25">
      <c r="B17" s="67"/>
      <c r="C17" s="68"/>
      <c r="D17" s="68"/>
      <c r="E17" s="129">
        <f>E13*E15</f>
        <v>240</v>
      </c>
      <c r="F17" s="68"/>
      <c r="G17" s="68"/>
      <c r="H17" s="68"/>
      <c r="I17" s="129">
        <f>I13*I15</f>
        <v>420</v>
      </c>
      <c r="J17" s="68"/>
      <c r="K17" s="68"/>
      <c r="L17" s="68"/>
      <c r="M17" s="129">
        <f>M13*M15</f>
        <v>540</v>
      </c>
      <c r="N17" s="68"/>
      <c r="O17" s="68"/>
      <c r="P17" s="120"/>
      <c r="Q17" s="129">
        <f>SUM(E17:P17)</f>
        <v>1200</v>
      </c>
      <c r="R17" s="69"/>
    </row>
    <row r="18" spans="2:22" ht="22.5" customHeight="1" thickBot="1" x14ac:dyDescent="0.3"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123"/>
      <c r="Q18" s="126">
        <f>(Q17-Q9)/Q9</f>
        <v>0.1111111111111111</v>
      </c>
      <c r="R18" s="127" t="s">
        <v>170</v>
      </c>
    </row>
    <row r="19" spans="2:22" ht="10.5" customHeight="1" thickBot="1" x14ac:dyDescent="0.3">
      <c r="B19" s="53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53"/>
      <c r="Q19" s="53"/>
      <c r="R19" s="53"/>
    </row>
    <row r="20" spans="2:22" ht="22.5" customHeight="1" x14ac:dyDescent="0.25">
      <c r="B20" s="117"/>
      <c r="C20" s="63" t="s">
        <v>155</v>
      </c>
      <c r="D20" s="63"/>
      <c r="E20" s="63" t="s">
        <v>156</v>
      </c>
      <c r="F20" s="63"/>
      <c r="G20" s="63" t="s">
        <v>157</v>
      </c>
      <c r="H20" s="63"/>
      <c r="I20" s="63" t="s">
        <v>158</v>
      </c>
      <c r="J20" s="63"/>
      <c r="K20" s="63" t="s">
        <v>159</v>
      </c>
      <c r="L20" s="63"/>
      <c r="M20" s="63" t="s">
        <v>160</v>
      </c>
      <c r="N20" s="63"/>
      <c r="O20" s="63" t="s">
        <v>161</v>
      </c>
      <c r="P20" s="118" t="s">
        <v>57</v>
      </c>
      <c r="Q20" s="118" t="s">
        <v>167</v>
      </c>
      <c r="R20" s="119"/>
    </row>
    <row r="21" spans="2:22" ht="22.5" customHeight="1" thickBot="1" x14ac:dyDescent="0.3">
      <c r="B21" s="67" t="s">
        <v>182</v>
      </c>
      <c r="C21" s="68" t="s">
        <v>162</v>
      </c>
      <c r="D21" s="68"/>
      <c r="E21" s="68" t="s">
        <v>162</v>
      </c>
      <c r="F21" s="68"/>
      <c r="G21" s="68" t="s">
        <v>162</v>
      </c>
      <c r="H21" s="68"/>
      <c r="I21" s="68" t="s">
        <v>163</v>
      </c>
      <c r="J21" s="68"/>
      <c r="K21" s="68" t="s">
        <v>162</v>
      </c>
      <c r="L21" s="68"/>
      <c r="M21" s="68" t="s">
        <v>166</v>
      </c>
      <c r="N21" s="68"/>
      <c r="O21" s="68" t="s">
        <v>162</v>
      </c>
      <c r="P21" s="120"/>
      <c r="Q21" s="120"/>
      <c r="R21" s="69"/>
    </row>
    <row r="22" spans="2:22" ht="22.5" customHeight="1" thickBot="1" x14ac:dyDescent="0.3">
      <c r="B22" s="67"/>
      <c r="C22" s="68"/>
      <c r="D22" s="68"/>
      <c r="E22" s="121">
        <v>0</v>
      </c>
      <c r="F22" s="68"/>
      <c r="G22" s="68"/>
      <c r="H22" s="68"/>
      <c r="I22" s="121">
        <v>120</v>
      </c>
      <c r="J22" s="68"/>
      <c r="K22" s="68"/>
      <c r="L22" s="68"/>
      <c r="M22" s="121">
        <v>240</v>
      </c>
      <c r="N22" s="68"/>
      <c r="O22" s="68"/>
      <c r="P22" s="120"/>
      <c r="Q22" s="122">
        <f>SUM(E22:O22)/60</f>
        <v>6</v>
      </c>
      <c r="R22" s="69"/>
    </row>
    <row r="23" spans="2:22" ht="22.5" customHeight="1" thickBot="1" x14ac:dyDescent="0.3">
      <c r="B23" s="67" t="s">
        <v>57</v>
      </c>
      <c r="C23" s="68"/>
      <c r="D23" s="68"/>
      <c r="E23" s="68" t="s">
        <v>172</v>
      </c>
      <c r="F23" s="68"/>
      <c r="G23" s="68"/>
      <c r="H23" s="68"/>
      <c r="I23" s="68" t="s">
        <v>164</v>
      </c>
      <c r="J23" s="68"/>
      <c r="K23" s="68"/>
      <c r="L23" s="68"/>
      <c r="M23" s="68" t="s">
        <v>164</v>
      </c>
      <c r="N23" s="68"/>
      <c r="O23" s="68"/>
      <c r="P23" s="120"/>
      <c r="Q23" s="124">
        <f>(Q22-Q13)/Q13</f>
        <v>-0.4</v>
      </c>
      <c r="R23" s="125" t="s">
        <v>173</v>
      </c>
    </row>
    <row r="24" spans="2:22" ht="22.5" customHeight="1" thickBot="1" x14ac:dyDescent="0.3">
      <c r="B24" s="67"/>
      <c r="C24" s="68"/>
      <c r="D24" s="68"/>
      <c r="E24" s="121">
        <v>0</v>
      </c>
      <c r="F24" s="68"/>
      <c r="G24" s="68"/>
      <c r="H24" s="68"/>
      <c r="I24" s="121">
        <v>2</v>
      </c>
      <c r="J24" s="68"/>
      <c r="K24" s="68"/>
      <c r="L24" s="68"/>
      <c r="M24" s="121">
        <v>2</v>
      </c>
      <c r="N24" s="68"/>
      <c r="O24" s="68"/>
      <c r="P24" s="120"/>
      <c r="Q24" s="120"/>
      <c r="R24" s="69"/>
    </row>
    <row r="25" spans="2:22" ht="22.5" customHeight="1" x14ac:dyDescent="0.25">
      <c r="B25" s="67"/>
      <c r="C25" s="68"/>
      <c r="D25" s="68"/>
      <c r="E25" s="68" t="s">
        <v>130</v>
      </c>
      <c r="F25" s="68"/>
      <c r="G25" s="68"/>
      <c r="H25" s="68"/>
      <c r="I25" s="68" t="s">
        <v>130</v>
      </c>
      <c r="J25" s="68"/>
      <c r="K25" s="68"/>
      <c r="L25" s="68"/>
      <c r="M25" s="68" t="s">
        <v>130</v>
      </c>
      <c r="N25" s="68"/>
      <c r="O25" s="68"/>
      <c r="P25" s="120"/>
      <c r="Q25" s="120"/>
      <c r="R25" s="69"/>
    </row>
    <row r="26" spans="2:22" ht="22.5" customHeight="1" x14ac:dyDescent="0.25">
      <c r="B26" s="67"/>
      <c r="C26" s="68"/>
      <c r="D26" s="68"/>
      <c r="E26" s="129">
        <f>E22*E24</f>
        <v>0</v>
      </c>
      <c r="F26" s="68"/>
      <c r="G26" s="68"/>
      <c r="H26" s="68"/>
      <c r="I26" s="129">
        <f>I22*I24</f>
        <v>240</v>
      </c>
      <c r="J26" s="68"/>
      <c r="K26" s="68"/>
      <c r="L26" s="68"/>
      <c r="M26" s="129">
        <f>M22*M24</f>
        <v>480</v>
      </c>
      <c r="N26" s="68"/>
      <c r="O26" s="68"/>
      <c r="P26" s="120"/>
      <c r="Q26" s="129">
        <f>SUM(E26:P26)</f>
        <v>720</v>
      </c>
      <c r="R26" s="69"/>
    </row>
    <row r="27" spans="2:22" ht="22.5" customHeight="1" thickBot="1" x14ac:dyDescent="0.3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123"/>
      <c r="Q27" s="126">
        <f>(Q26-Q17)/Q17</f>
        <v>-0.4</v>
      </c>
      <c r="R27" s="127" t="s">
        <v>173</v>
      </c>
    </row>
    <row r="29" spans="2:22" ht="22.5" customHeight="1" thickBot="1" x14ac:dyDescent="0.3">
      <c r="B29" s="1" t="s">
        <v>174</v>
      </c>
    </row>
    <row r="30" spans="2:22" ht="22.5" customHeight="1" thickBot="1" x14ac:dyDescent="0.3">
      <c r="B30" s="21"/>
      <c r="C30" s="83" t="s">
        <v>155</v>
      </c>
      <c r="D30" s="83"/>
      <c r="E30" s="83" t="s">
        <v>156</v>
      </c>
      <c r="F30" s="83"/>
      <c r="G30" s="83" t="s">
        <v>157</v>
      </c>
      <c r="H30" s="83"/>
      <c r="I30" s="83" t="s">
        <v>158</v>
      </c>
      <c r="J30" s="83"/>
      <c r="K30" s="83" t="s">
        <v>159</v>
      </c>
      <c r="L30" s="83"/>
      <c r="M30" s="83" t="s">
        <v>160</v>
      </c>
      <c r="N30" s="83"/>
      <c r="O30" s="83" t="s">
        <v>161</v>
      </c>
      <c r="P30" s="97" t="s">
        <v>57</v>
      </c>
      <c r="Q30" s="97" t="s">
        <v>167</v>
      </c>
      <c r="R30" s="98"/>
    </row>
    <row r="31" spans="2:22" ht="22.5" customHeight="1" thickBot="1" x14ac:dyDescent="0.3">
      <c r="B31" s="22" t="s">
        <v>154</v>
      </c>
      <c r="C31" s="84" t="s">
        <v>162</v>
      </c>
      <c r="D31" s="84"/>
      <c r="E31" s="84" t="s">
        <v>163</v>
      </c>
      <c r="F31" s="114" t="s">
        <v>175</v>
      </c>
      <c r="G31" s="84" t="s">
        <v>162</v>
      </c>
      <c r="H31" s="84"/>
      <c r="I31" s="84" t="s">
        <v>165</v>
      </c>
      <c r="J31" s="114" t="s">
        <v>175</v>
      </c>
      <c r="K31" s="84" t="s">
        <v>162</v>
      </c>
      <c r="L31" s="84"/>
      <c r="M31" s="84" t="s">
        <v>166</v>
      </c>
      <c r="N31" s="114" t="s">
        <v>175</v>
      </c>
      <c r="O31" s="84" t="s">
        <v>162</v>
      </c>
      <c r="P31" s="106"/>
      <c r="Q31" s="106"/>
      <c r="R31" s="24"/>
      <c r="T31" s="21"/>
      <c r="U31" s="83" t="s">
        <v>130</v>
      </c>
      <c r="V31" s="9" t="s">
        <v>185</v>
      </c>
    </row>
    <row r="32" spans="2:22" ht="22.5" customHeight="1" thickBot="1" x14ac:dyDescent="0.3">
      <c r="B32" s="22"/>
      <c r="C32" s="84"/>
      <c r="D32" s="84"/>
      <c r="E32" s="104">
        <v>120</v>
      </c>
      <c r="F32" s="114" t="s">
        <v>177</v>
      </c>
      <c r="G32" s="84"/>
      <c r="H32" s="84"/>
      <c r="I32" s="104">
        <v>180</v>
      </c>
      <c r="J32" s="114">
        <v>0</v>
      </c>
      <c r="K32" s="84"/>
      <c r="L32" s="84"/>
      <c r="M32" s="104">
        <v>240</v>
      </c>
      <c r="N32" s="114" t="s">
        <v>179</v>
      </c>
      <c r="O32" s="84"/>
      <c r="P32" s="106"/>
      <c r="Q32" s="105">
        <f>SUM(E32:O32)/60</f>
        <v>9</v>
      </c>
      <c r="R32" s="24"/>
      <c r="T32" s="131" t="s">
        <v>183</v>
      </c>
      <c r="U32" s="84">
        <f>SUM(F36,J36,N36)</f>
        <v>155</v>
      </c>
      <c r="V32" s="11">
        <f>6*5+10*0.5</f>
        <v>35</v>
      </c>
    </row>
    <row r="33" spans="2:22" ht="22.5" customHeight="1" thickBot="1" x14ac:dyDescent="0.3">
      <c r="B33" s="22" t="s">
        <v>57</v>
      </c>
      <c r="C33" s="84"/>
      <c r="D33" s="84"/>
      <c r="E33" s="84" t="s">
        <v>164</v>
      </c>
      <c r="F33" s="84" t="s">
        <v>176</v>
      </c>
      <c r="G33" s="84"/>
      <c r="H33" s="84"/>
      <c r="I33" s="84" t="s">
        <v>164</v>
      </c>
      <c r="J33" s="84">
        <v>0</v>
      </c>
      <c r="K33" s="84"/>
      <c r="L33" s="84"/>
      <c r="M33" s="84" t="s">
        <v>164</v>
      </c>
      <c r="N33" s="84" t="s">
        <v>180</v>
      </c>
      <c r="O33" s="84"/>
      <c r="P33" s="106"/>
      <c r="Q33" s="106"/>
      <c r="R33" s="24"/>
      <c r="T33" s="131" t="s">
        <v>167</v>
      </c>
      <c r="U33" s="84">
        <f>Q36</f>
        <v>1235</v>
      </c>
      <c r="V33" s="11">
        <f>Q32*60</f>
        <v>540</v>
      </c>
    </row>
    <row r="34" spans="2:22" ht="22.5" customHeight="1" thickBot="1" x14ac:dyDescent="0.3">
      <c r="B34" s="22"/>
      <c r="C34" s="84"/>
      <c r="D34" s="84"/>
      <c r="E34" s="104">
        <v>2</v>
      </c>
      <c r="F34" s="84">
        <v>4</v>
      </c>
      <c r="G34" s="84"/>
      <c r="H34" s="84"/>
      <c r="I34" s="104">
        <v>2</v>
      </c>
      <c r="J34" s="84">
        <v>0</v>
      </c>
      <c r="K34" s="84"/>
      <c r="L34" s="84"/>
      <c r="M34" s="104">
        <v>2</v>
      </c>
      <c r="N34" s="84">
        <v>7</v>
      </c>
      <c r="O34" s="84"/>
      <c r="P34" s="106"/>
      <c r="Q34" s="106"/>
      <c r="R34" s="24"/>
      <c r="T34" s="132" t="s">
        <v>184</v>
      </c>
      <c r="U34" s="110">
        <f>U32/U33</f>
        <v>0.12550607287449392</v>
      </c>
      <c r="V34" s="130">
        <f>V32/V33</f>
        <v>6.4814814814814811E-2</v>
      </c>
    </row>
    <row r="35" spans="2:22" ht="22.5" customHeight="1" x14ac:dyDescent="0.25">
      <c r="B35" s="22"/>
      <c r="C35" s="84"/>
      <c r="D35" s="84"/>
      <c r="E35" s="84" t="s">
        <v>130</v>
      </c>
      <c r="F35" s="84"/>
      <c r="G35" s="84"/>
      <c r="H35" s="84"/>
      <c r="I35" s="84" t="s">
        <v>130</v>
      </c>
      <c r="J35" s="84"/>
      <c r="K35" s="84"/>
      <c r="L35" s="84"/>
      <c r="M35" s="84" t="s">
        <v>130</v>
      </c>
      <c r="N35" s="84"/>
      <c r="O35" s="84"/>
      <c r="P35" s="106"/>
      <c r="Q35" s="106"/>
      <c r="R35" s="24"/>
    </row>
    <row r="36" spans="2:22" ht="22.5" customHeight="1" thickBot="1" x14ac:dyDescent="0.3">
      <c r="B36" s="99"/>
      <c r="C36" s="85"/>
      <c r="D36" s="85"/>
      <c r="E36" s="107">
        <f>E32*E34</f>
        <v>240</v>
      </c>
      <c r="F36" s="107">
        <f>6*5*F34</f>
        <v>120</v>
      </c>
      <c r="G36" s="85"/>
      <c r="H36" s="85"/>
      <c r="I36" s="107">
        <f>I32*I34</f>
        <v>360</v>
      </c>
      <c r="J36" s="107">
        <f>8*5*J34</f>
        <v>0</v>
      </c>
      <c r="K36" s="85"/>
      <c r="L36" s="85"/>
      <c r="M36" s="107">
        <f>M32*M34</f>
        <v>480</v>
      </c>
      <c r="N36" s="107">
        <f>10*0.5*N34</f>
        <v>35</v>
      </c>
      <c r="O36" s="85"/>
      <c r="P36" s="100"/>
      <c r="Q36" s="107">
        <f>SUM(E36:P36)</f>
        <v>1235</v>
      </c>
      <c r="R36" s="108"/>
    </row>
    <row r="37" spans="2:22" ht="22.5" customHeight="1" thickBot="1" x14ac:dyDescent="0.3"/>
    <row r="38" spans="2:22" ht="22.5" customHeight="1" thickBot="1" x14ac:dyDescent="0.3">
      <c r="B38" s="21"/>
      <c r="C38" s="83" t="s">
        <v>155</v>
      </c>
      <c r="D38" s="83"/>
      <c r="E38" s="83" t="s">
        <v>156</v>
      </c>
      <c r="F38" s="83"/>
      <c r="G38" s="83" t="s">
        <v>157</v>
      </c>
      <c r="H38" s="83"/>
      <c r="I38" s="83" t="s">
        <v>158</v>
      </c>
      <c r="J38" s="83"/>
      <c r="K38" s="83" t="s">
        <v>159</v>
      </c>
      <c r="L38" s="83"/>
      <c r="M38" s="83" t="s">
        <v>160</v>
      </c>
      <c r="N38" s="83"/>
      <c r="O38" s="83" t="s">
        <v>161</v>
      </c>
      <c r="P38" s="97" t="s">
        <v>57</v>
      </c>
      <c r="Q38" s="97" t="s">
        <v>167</v>
      </c>
      <c r="R38" s="98"/>
    </row>
    <row r="39" spans="2:22" ht="22.5" customHeight="1" thickBot="1" x14ac:dyDescent="0.3">
      <c r="B39" s="22" t="s">
        <v>168</v>
      </c>
      <c r="C39" s="84" t="s">
        <v>162</v>
      </c>
      <c r="D39" s="84"/>
      <c r="E39" s="84" t="s">
        <v>181</v>
      </c>
      <c r="F39" s="114" t="s">
        <v>175</v>
      </c>
      <c r="G39" s="84" t="s">
        <v>162</v>
      </c>
      <c r="H39" s="84"/>
      <c r="I39" s="84" t="s">
        <v>165</v>
      </c>
      <c r="J39" s="114" t="s">
        <v>175</v>
      </c>
      <c r="K39" s="84" t="s">
        <v>162</v>
      </c>
      <c r="L39" s="84"/>
      <c r="M39" s="84" t="s">
        <v>171</v>
      </c>
      <c r="N39" s="114" t="s">
        <v>175</v>
      </c>
      <c r="O39" s="84" t="s">
        <v>162</v>
      </c>
      <c r="P39" s="106"/>
      <c r="Q39" s="106"/>
      <c r="R39" s="24"/>
      <c r="T39" s="21"/>
      <c r="U39" s="83" t="s">
        <v>130</v>
      </c>
      <c r="V39" s="9" t="s">
        <v>185</v>
      </c>
    </row>
    <row r="40" spans="2:22" ht="22.5" customHeight="1" thickBot="1" x14ac:dyDescent="0.3">
      <c r="B40" s="22"/>
      <c r="C40" s="84"/>
      <c r="D40" s="84"/>
      <c r="E40" s="104">
        <v>150</v>
      </c>
      <c r="F40" s="115" t="s">
        <v>178</v>
      </c>
      <c r="G40" s="84"/>
      <c r="H40" s="84"/>
      <c r="I40" s="104">
        <v>180</v>
      </c>
      <c r="J40" s="115">
        <v>0</v>
      </c>
      <c r="K40" s="84"/>
      <c r="L40" s="84"/>
      <c r="M40" s="104">
        <v>270</v>
      </c>
      <c r="N40" s="114" t="s">
        <v>179</v>
      </c>
      <c r="O40" s="84"/>
      <c r="P40" s="106"/>
      <c r="Q40" s="105">
        <f>SUM(E40:O40)/60</f>
        <v>10</v>
      </c>
      <c r="R40" s="24"/>
      <c r="T40" s="131" t="s">
        <v>183</v>
      </c>
      <c r="U40" s="84">
        <f>SUM(F44,J44,N44)</f>
        <v>195</v>
      </c>
      <c r="V40" s="11">
        <f>6*5+10*0.5</f>
        <v>35</v>
      </c>
    </row>
    <row r="41" spans="2:22" ht="22.5" customHeight="1" thickBot="1" x14ac:dyDescent="0.3">
      <c r="B41" s="22" t="s">
        <v>57</v>
      </c>
      <c r="C41" s="84"/>
      <c r="D41" s="84"/>
      <c r="E41" s="84" t="s">
        <v>164</v>
      </c>
      <c r="F41" s="84" t="s">
        <v>176</v>
      </c>
      <c r="G41" s="84"/>
      <c r="H41" s="84"/>
      <c r="I41" s="84" t="s">
        <v>164</v>
      </c>
      <c r="J41" s="84">
        <v>0</v>
      </c>
      <c r="K41" s="84"/>
      <c r="L41" s="84"/>
      <c r="M41" s="84" t="s">
        <v>164</v>
      </c>
      <c r="N41" s="84" t="s">
        <v>180</v>
      </c>
      <c r="O41" s="84"/>
      <c r="P41" s="106"/>
      <c r="Q41" s="112">
        <f>(Q40-Q32)/Q32</f>
        <v>0.1111111111111111</v>
      </c>
      <c r="R41" s="113" t="s">
        <v>170</v>
      </c>
      <c r="T41" s="131" t="s">
        <v>167</v>
      </c>
      <c r="U41" s="84">
        <f>Q44</f>
        <v>1395</v>
      </c>
      <c r="V41" s="11">
        <f>Q40*60</f>
        <v>600</v>
      </c>
    </row>
    <row r="42" spans="2:22" ht="22.5" customHeight="1" thickBot="1" x14ac:dyDescent="0.3">
      <c r="B42" s="22"/>
      <c r="C42" s="84"/>
      <c r="D42" s="84"/>
      <c r="E42" s="104">
        <v>2</v>
      </c>
      <c r="F42" s="104">
        <v>4</v>
      </c>
      <c r="G42" s="84"/>
      <c r="H42" s="84"/>
      <c r="I42" s="104">
        <v>2</v>
      </c>
      <c r="J42" s="104">
        <v>0</v>
      </c>
      <c r="K42" s="84"/>
      <c r="L42" s="84"/>
      <c r="M42" s="104">
        <v>2</v>
      </c>
      <c r="N42" s="84">
        <v>7</v>
      </c>
      <c r="O42" s="84"/>
      <c r="P42" s="106"/>
      <c r="Q42" s="106"/>
      <c r="R42" s="24"/>
      <c r="T42" s="132" t="s">
        <v>184</v>
      </c>
      <c r="U42" s="110">
        <f>U40/U41</f>
        <v>0.13978494623655913</v>
      </c>
      <c r="V42" s="130">
        <f>V40/V41</f>
        <v>5.8333333333333334E-2</v>
      </c>
    </row>
    <row r="43" spans="2:22" ht="22.5" customHeight="1" x14ac:dyDescent="0.25">
      <c r="B43" s="22"/>
      <c r="C43" s="84"/>
      <c r="D43" s="84"/>
      <c r="E43" s="84" t="s">
        <v>130</v>
      </c>
      <c r="F43" s="84"/>
      <c r="G43" s="84"/>
      <c r="H43" s="84"/>
      <c r="I43" s="84" t="s">
        <v>130</v>
      </c>
      <c r="J43" s="84"/>
      <c r="K43" s="84"/>
      <c r="L43" s="84"/>
      <c r="M43" s="84" t="s">
        <v>130</v>
      </c>
      <c r="N43" s="84"/>
      <c r="O43" s="84"/>
      <c r="P43" s="106"/>
      <c r="Q43" s="106"/>
      <c r="R43" s="24"/>
    </row>
    <row r="44" spans="2:22" ht="22.5" customHeight="1" x14ac:dyDescent="0.25">
      <c r="B44" s="22"/>
      <c r="C44" s="84"/>
      <c r="D44" s="84"/>
      <c r="E44" s="109">
        <f>E40*E42</f>
        <v>300</v>
      </c>
      <c r="F44" s="109">
        <f>8*5*F42</f>
        <v>160</v>
      </c>
      <c r="G44" s="84"/>
      <c r="H44" s="84"/>
      <c r="I44" s="109">
        <f>I40*I42</f>
        <v>360</v>
      </c>
      <c r="J44" s="109">
        <f>6*5*J42</f>
        <v>0</v>
      </c>
      <c r="K44" s="84"/>
      <c r="L44" s="84"/>
      <c r="M44" s="109">
        <f>M40*M42</f>
        <v>540</v>
      </c>
      <c r="N44" s="109">
        <f>10*0.5*N42</f>
        <v>35</v>
      </c>
      <c r="O44" s="84"/>
      <c r="P44" s="106"/>
      <c r="Q44" s="109">
        <f>SUM(E44:P44)</f>
        <v>1395</v>
      </c>
      <c r="R44" s="24"/>
    </row>
    <row r="45" spans="2:22" ht="22.5" customHeight="1" thickBot="1" x14ac:dyDescent="0.3">
      <c r="B45" s="99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100"/>
      <c r="Q45" s="110">
        <f>(Q44-Q36)/Q36</f>
        <v>0.12955465587044535</v>
      </c>
      <c r="R45" s="111" t="s">
        <v>170</v>
      </c>
    </row>
    <row r="46" spans="2:22" ht="22.5" customHeight="1" thickBot="1" x14ac:dyDescent="0.3"/>
    <row r="47" spans="2:22" ht="22.5" customHeight="1" x14ac:dyDescent="0.25">
      <c r="B47" s="21"/>
      <c r="C47" s="83" t="s">
        <v>155</v>
      </c>
      <c r="D47" s="83"/>
      <c r="E47" s="83" t="s">
        <v>156</v>
      </c>
      <c r="F47" s="83"/>
      <c r="G47" s="83" t="s">
        <v>157</v>
      </c>
      <c r="H47" s="83"/>
      <c r="I47" s="83" t="s">
        <v>158</v>
      </c>
      <c r="J47" s="83"/>
      <c r="K47" s="83" t="s">
        <v>159</v>
      </c>
      <c r="L47" s="83"/>
      <c r="M47" s="83" t="s">
        <v>160</v>
      </c>
      <c r="N47" s="83"/>
      <c r="O47" s="83" t="s">
        <v>161</v>
      </c>
      <c r="P47" s="97" t="s">
        <v>57</v>
      </c>
      <c r="Q47" s="97" t="s">
        <v>167</v>
      </c>
      <c r="R47" s="98"/>
    </row>
    <row r="48" spans="2:22" ht="22.5" customHeight="1" thickBot="1" x14ac:dyDescent="0.3">
      <c r="B48" s="22" t="s">
        <v>182</v>
      </c>
      <c r="C48" s="84" t="s">
        <v>162</v>
      </c>
      <c r="D48" s="84"/>
      <c r="E48" s="84" t="s">
        <v>162</v>
      </c>
      <c r="F48" s="84"/>
      <c r="G48" s="84" t="s">
        <v>162</v>
      </c>
      <c r="H48" s="84"/>
      <c r="I48" s="84" t="s">
        <v>163</v>
      </c>
      <c r="J48" s="84"/>
      <c r="K48" s="84" t="s">
        <v>162</v>
      </c>
      <c r="L48" s="84"/>
      <c r="M48" s="84" t="s">
        <v>166</v>
      </c>
      <c r="N48" s="84"/>
      <c r="O48" s="84" t="s">
        <v>162</v>
      </c>
      <c r="P48" s="106"/>
      <c r="Q48" s="106"/>
      <c r="R48" s="24"/>
    </row>
    <row r="49" spans="2:18" ht="22.5" customHeight="1" thickBot="1" x14ac:dyDescent="0.3">
      <c r="B49" s="22"/>
      <c r="C49" s="84"/>
      <c r="D49" s="84"/>
      <c r="E49" s="104">
        <v>0</v>
      </c>
      <c r="F49" s="84"/>
      <c r="G49" s="84"/>
      <c r="H49" s="84"/>
      <c r="I49" s="104">
        <v>120</v>
      </c>
      <c r="J49" s="84"/>
      <c r="K49" s="84"/>
      <c r="L49" s="84"/>
      <c r="M49" s="104">
        <v>240</v>
      </c>
      <c r="N49" s="84"/>
      <c r="O49" s="84"/>
      <c r="P49" s="106"/>
      <c r="Q49" s="105">
        <f>SUM(E49:O49)/60</f>
        <v>6</v>
      </c>
      <c r="R49" s="24"/>
    </row>
    <row r="50" spans="2:18" ht="22.5" customHeight="1" thickBot="1" x14ac:dyDescent="0.3">
      <c r="B50" s="22" t="s">
        <v>57</v>
      </c>
      <c r="C50" s="84"/>
      <c r="D50" s="84"/>
      <c r="E50" s="84" t="s">
        <v>172</v>
      </c>
      <c r="F50" s="84"/>
      <c r="G50" s="84"/>
      <c r="H50" s="84"/>
      <c r="I50" s="84" t="s">
        <v>164</v>
      </c>
      <c r="J50" s="84"/>
      <c r="K50" s="84"/>
      <c r="L50" s="84"/>
      <c r="M50" s="84" t="s">
        <v>164</v>
      </c>
      <c r="N50" s="84"/>
      <c r="O50" s="84"/>
      <c r="P50" s="106"/>
      <c r="Q50" s="112">
        <f>(Q49-Q40)/Q40</f>
        <v>-0.4</v>
      </c>
      <c r="R50" s="113" t="s">
        <v>173</v>
      </c>
    </row>
    <row r="51" spans="2:18" ht="22.5" customHeight="1" thickBot="1" x14ac:dyDescent="0.3">
      <c r="B51" s="22"/>
      <c r="C51" s="84"/>
      <c r="D51" s="84"/>
      <c r="E51" s="104">
        <v>0</v>
      </c>
      <c r="F51" s="84"/>
      <c r="G51" s="84"/>
      <c r="H51" s="84"/>
      <c r="I51" s="104">
        <v>2</v>
      </c>
      <c r="J51" s="84"/>
      <c r="K51" s="84"/>
      <c r="L51" s="84"/>
      <c r="M51" s="104">
        <v>2</v>
      </c>
      <c r="N51" s="84"/>
      <c r="O51" s="84"/>
      <c r="P51" s="106"/>
      <c r="Q51" s="106"/>
      <c r="R51" s="24"/>
    </row>
    <row r="52" spans="2:18" ht="22.5" customHeight="1" x14ac:dyDescent="0.25">
      <c r="B52" s="22"/>
      <c r="C52" s="84"/>
      <c r="D52" s="84"/>
      <c r="E52" s="84" t="s">
        <v>130</v>
      </c>
      <c r="F52" s="84"/>
      <c r="G52" s="84"/>
      <c r="H52" s="84"/>
      <c r="I52" s="84" t="s">
        <v>130</v>
      </c>
      <c r="J52" s="84"/>
      <c r="K52" s="84"/>
      <c r="L52" s="84"/>
      <c r="M52" s="84" t="s">
        <v>130</v>
      </c>
      <c r="N52" s="84"/>
      <c r="O52" s="84"/>
      <c r="P52" s="106"/>
      <c r="Q52" s="106"/>
      <c r="R52" s="24"/>
    </row>
    <row r="53" spans="2:18" ht="22.5" customHeight="1" x14ac:dyDescent="0.25">
      <c r="B53" s="22"/>
      <c r="C53" s="84"/>
      <c r="D53" s="84"/>
      <c r="E53" s="109">
        <f>E49*E51</f>
        <v>0</v>
      </c>
      <c r="F53" s="84"/>
      <c r="G53" s="84"/>
      <c r="H53" s="84"/>
      <c r="I53" s="109">
        <f>I49*I51</f>
        <v>240</v>
      </c>
      <c r="J53" s="84"/>
      <c r="K53" s="84"/>
      <c r="L53" s="84"/>
      <c r="M53" s="109">
        <f>M49*M51</f>
        <v>480</v>
      </c>
      <c r="N53" s="84"/>
      <c r="O53" s="84"/>
      <c r="P53" s="106"/>
      <c r="Q53" s="109">
        <f>SUM(E53:P53)</f>
        <v>720</v>
      </c>
      <c r="R53" s="24"/>
    </row>
    <row r="54" spans="2:18" ht="22.5" customHeight="1" thickBot="1" x14ac:dyDescent="0.3">
      <c r="B54" s="99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100"/>
      <c r="Q54" s="110">
        <f>(Q53-Q44)/Q44</f>
        <v>-0.4838709677419355</v>
      </c>
      <c r="R54" s="111" t="s">
        <v>173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Electrolytes</vt:lpstr>
      <vt:lpstr>Recovery Drinks</vt:lpstr>
      <vt:lpstr>Protein SNACK</vt:lpstr>
      <vt:lpstr>REVS per year</vt:lpstr>
      <vt:lpstr>Periodization EX + Damage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2019-02-27T21:11:06Z</dcterms:created>
  <dcterms:modified xsi:type="dcterms:W3CDTF">2020-05-22T23:17:11Z</dcterms:modified>
</cp:coreProperties>
</file>